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9440" windowHeight="11640" tabRatio="896"/>
  </bookViews>
  <sheets>
    <sheet name="Tab 1 Overview" sheetId="2" r:id="rId1"/>
    <sheet name="Tab 2 Investment 1" sheetId="3" r:id="rId2"/>
    <sheet name="Tab 2 Investment 2" sheetId="10" r:id="rId3"/>
    <sheet name="Tab 2 Investment 3" sheetId="11" r:id="rId4"/>
    <sheet name="Tab 2 Investment 4" sheetId="12" r:id="rId5"/>
    <sheet name="Tab 2 Investment 5" sheetId="13" r:id="rId6"/>
    <sheet name="Tab 2 Investment 6" sheetId="14" r:id="rId7"/>
    <sheet name="Tab 2 Investment 7" sheetId="16" r:id="rId8"/>
    <sheet name="Tab 2 Investment 8" sheetId="15" r:id="rId9"/>
    <sheet name="Tab 2 Investment 9" sheetId="17" r:id="rId10"/>
    <sheet name="Instructions" sheetId="4" state="hidden" r:id="rId11"/>
    <sheet name="Example 1" sheetId="7" state="hidden" r:id="rId12"/>
    <sheet name="Example 2" sheetId="9" state="hidden" r:id="rId13"/>
  </sheets>
  <externalReferences>
    <externalReference r:id="rId14"/>
    <externalReference r:id="rId15"/>
    <externalReference r:id="rId16"/>
  </externalReferences>
  <definedNames>
    <definedName name="Intervention_Category">'[1](Sub) Intervention Categories'!$A$1:$A$7</definedName>
    <definedName name="_xlnm.Print_Area" localSheetId="0">'Tab 1 Overview'!$A$1:$P$13</definedName>
    <definedName name="_xlnm.Print_Area" localSheetId="1">'Tab 2 Investment 1'!$A$1:$C$17</definedName>
    <definedName name="_xlnm.Print_Area" localSheetId="2">'Tab 2 Investment 2'!$A$1:$C$17</definedName>
    <definedName name="_xlnm.Print_Area" localSheetId="3">'Tab 2 Investment 3'!$A$1:$C$17</definedName>
    <definedName name="_xlnm.Print_Area" localSheetId="4">'Tab 2 Investment 4'!$A$1:$C$17</definedName>
    <definedName name="_xlnm.Print_Area" localSheetId="5">'Tab 2 Investment 5'!$A$1:$C$17</definedName>
    <definedName name="_xlnm.Print_Area" localSheetId="6">'Tab 2 Investment 6'!$A$1:$C$17</definedName>
    <definedName name="_xlnm.Print_Area" localSheetId="7">'Tab 2 Investment 7'!$A$1:$C$17</definedName>
    <definedName name="_xlnm.Print_Area" localSheetId="8">'Tab 2 Investment 8'!$A$1:$C$17</definedName>
    <definedName name="_xlnm.Print_Area" localSheetId="9">'Tab 2 Investment 9'!$A$1:$C$17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3" l="1"/>
  <c r="C36" i="13"/>
  <c r="C38" i="13" s="1"/>
  <c r="C40" i="13" s="1"/>
  <c r="C37" i="13" l="1"/>
  <c r="C12" i="12"/>
  <c r="G22" i="12"/>
  <c r="F22" i="12"/>
  <c r="C39" i="12" l="1"/>
  <c r="C36" i="12" l="1"/>
  <c r="C38" i="12" l="1"/>
  <c r="C40" i="12" s="1"/>
  <c r="C37" i="12"/>
  <c r="C35" i="3" l="1"/>
  <c r="C37" i="3" s="1"/>
  <c r="D29" i="13" l="1"/>
  <c r="C12" i="13" s="1"/>
  <c r="G26" i="10" l="1"/>
  <c r="D25" i="10"/>
  <c r="D23" i="3" l="1"/>
  <c r="D23" i="10"/>
  <c r="D26" i="10" l="1"/>
  <c r="D22" i="3" l="1"/>
  <c r="D24" i="3" l="1"/>
  <c r="D27" i="10" l="1"/>
  <c r="D27" i="3"/>
  <c r="D27" i="14"/>
  <c r="D28" i="14" s="1"/>
  <c r="D23" i="15"/>
  <c r="O13" i="2"/>
  <c r="O12" i="2"/>
  <c r="O11" i="2"/>
  <c r="O10" i="2"/>
  <c r="O9" i="2"/>
  <c r="O8" i="2"/>
  <c r="O7" i="2"/>
  <c r="O6" i="2"/>
  <c r="O5" i="2"/>
  <c r="D21" i="17" l="1"/>
  <c r="D25" i="17" l="1"/>
  <c r="P13" i="2" s="1"/>
  <c r="D23" i="11" l="1"/>
  <c r="D22" i="15" l="1"/>
  <c r="C10" i="3" l="1"/>
  <c r="D23" i="12" l="1"/>
  <c r="D25" i="16" l="1"/>
  <c r="C6" i="16"/>
  <c r="P11" i="2" s="1"/>
  <c r="D26" i="15" l="1"/>
  <c r="D24" i="10"/>
  <c r="C6" i="15" l="1"/>
  <c r="P12" i="2" s="1"/>
  <c r="C35" i="15"/>
  <c r="C36" i="15" s="1"/>
  <c r="D29" i="10"/>
  <c r="D25" i="3"/>
  <c r="D30" i="3"/>
  <c r="C38" i="3" s="1"/>
  <c r="C39" i="3" s="1"/>
  <c r="D26" i="12" l="1"/>
  <c r="C6" i="12" s="1"/>
  <c r="P8" i="2" s="1"/>
  <c r="D26" i="13"/>
  <c r="C6" i="13" s="1"/>
  <c r="P9" i="2" s="1"/>
  <c r="C6" i="14"/>
  <c r="P10" i="2" s="1"/>
  <c r="D26" i="11"/>
  <c r="C6" i="11" s="1"/>
  <c r="P7" i="2" s="1"/>
  <c r="C6" i="10"/>
  <c r="P6" i="2" s="1"/>
  <c r="C6" i="3"/>
  <c r="P5" i="2" l="1"/>
  <c r="J2" i="2"/>
  <c r="C2" i="14"/>
  <c r="C2" i="13"/>
  <c r="C2" i="12"/>
  <c r="C2" i="11"/>
  <c r="C2" i="10"/>
  <c r="C2" i="3"/>
  <c r="P4" i="2" l="1"/>
  <c r="Q4" i="2" s="1"/>
</calcChain>
</file>

<file path=xl/comments1.xml><?xml version="1.0" encoding="utf-8"?>
<comments xmlns="http://schemas.openxmlformats.org/spreadsheetml/2006/main">
  <authors>
    <author>Stefano, Megan</author>
  </authors>
  <commentList>
    <comment ref="D22" authorId="0">
      <text>
        <r>
          <rPr>
            <b/>
            <sz val="9"/>
            <color indexed="81"/>
            <rFont val="Tahoma"/>
            <family val="2"/>
          </rPr>
          <t>Stefano, Megan:</t>
        </r>
        <r>
          <rPr>
            <sz val="9"/>
            <color indexed="81"/>
            <rFont val="Tahoma"/>
            <family val="2"/>
          </rPr>
          <t xml:space="preserve">
thru 4/2/15 invoice; all invoices after are for quality program (Inv. 2)</t>
        </r>
      </text>
    </comment>
    <comment ref="D23" authorId="0">
      <text>
        <r>
          <rPr>
            <b/>
            <sz val="9"/>
            <color indexed="81"/>
            <rFont val="Tahoma"/>
            <family val="2"/>
          </rPr>
          <t>Stefano, Megan:</t>
        </r>
        <r>
          <rPr>
            <sz val="9"/>
            <color indexed="81"/>
            <rFont val="Tahoma"/>
            <family val="2"/>
          </rPr>
          <t xml:space="preserve">
invoices thru June 2015</t>
        </r>
      </text>
    </comment>
    <comment ref="D26" authorId="0">
      <text>
        <r>
          <rPr>
            <b/>
            <sz val="9"/>
            <color indexed="81"/>
            <rFont val="Tahoma"/>
            <family val="2"/>
          </rPr>
          <t>Stefano, Megan:</t>
        </r>
        <r>
          <rPr>
            <sz val="9"/>
            <color indexed="81"/>
            <rFont val="Tahoma"/>
            <family val="2"/>
          </rPr>
          <t xml:space="preserve">
ended in April</t>
        </r>
      </text>
    </comment>
  </commentList>
</comments>
</file>

<file path=xl/comments2.xml><?xml version="1.0" encoding="utf-8"?>
<comments xmlns="http://schemas.openxmlformats.org/spreadsheetml/2006/main">
  <authors>
    <author>Stefano, Megan</author>
  </authors>
  <commentList>
    <comment ref="C7" authorId="0">
      <text>
        <r>
          <rPr>
            <b/>
            <sz val="9"/>
            <color indexed="81"/>
            <rFont val="Tahoma"/>
            <family val="2"/>
          </rPr>
          <t>Stefano, Megan:</t>
        </r>
        <r>
          <rPr>
            <sz val="9"/>
            <color indexed="81"/>
            <rFont val="Tahoma"/>
            <family val="2"/>
          </rPr>
          <t xml:space="preserve">
from Insights</t>
        </r>
      </text>
    </comment>
  </commentList>
</comments>
</file>

<file path=xl/comments3.xml><?xml version="1.0" encoding="utf-8"?>
<comments xmlns="http://schemas.openxmlformats.org/spreadsheetml/2006/main">
  <authors>
    <author>Stefano, Megan</author>
  </authors>
  <commentList>
    <comment ref="D24" authorId="0">
      <text>
        <r>
          <rPr>
            <b/>
            <sz val="9"/>
            <color indexed="81"/>
            <rFont val="Tahoma"/>
            <family val="2"/>
          </rPr>
          <t>Stefano, Megan:</t>
        </r>
        <r>
          <rPr>
            <sz val="9"/>
            <color indexed="81"/>
            <rFont val="Tahoma"/>
            <family val="2"/>
          </rPr>
          <t xml:space="preserve">
not hired yet
</t>
        </r>
      </text>
    </comment>
  </commentList>
</comments>
</file>

<file path=xl/sharedStrings.xml><?xml version="1.0" encoding="utf-8"?>
<sst xmlns="http://schemas.openxmlformats.org/spreadsheetml/2006/main" count="515" uniqueCount="232">
  <si>
    <t>Hospital:</t>
  </si>
  <si>
    <t>Links with existing state-wide or regional infrastructure</t>
  </si>
  <si>
    <t>Total Expenses</t>
  </si>
  <si>
    <t>Total costs covered by restricted grant or donation?</t>
  </si>
  <si>
    <t>Date of Submission:</t>
  </si>
  <si>
    <t>Health System Affliation: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</si>
  <si>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</si>
  <si>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</si>
  <si>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</si>
  <si>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</si>
  <si>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</si>
  <si>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</si>
  <si>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</si>
  <si>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</si>
  <si>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</si>
  <si>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</si>
  <si>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</si>
  <si>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High Risk for increased utilization patients</t>
  </si>
  <si>
    <t>Investment functions in both</t>
  </si>
  <si>
    <t>$325,000/year</t>
  </si>
  <si>
    <t>IT Analysts, ACO Director</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</si>
  <si>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</si>
  <si>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</si>
  <si>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</si>
  <si>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</si>
  <si>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</si>
  <si>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Population Health analytics data system utilized to mine claims and other data for high risk patients that require care coordination for improving ambulatory care and self management,  as well as interventions focused upon educating providers as to where their costs lie.  Both of these interventions are targeted at informing decisions aimed at decreasing PAU.</t>
  </si>
  <si>
    <t>Total Annual FTEs</t>
  </si>
  <si>
    <t>Monitoring number of patients referred to care management; Cost of care pre and post care management</t>
  </si>
  <si>
    <t>Outcome(s) or Proposed Outcome Measures</t>
  </si>
  <si>
    <t>Total Investments ($)</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</si>
  <si>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</si>
  <si>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</si>
  <si>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</si>
  <si>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</si>
  <si>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</si>
  <si>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</si>
  <si>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</si>
  <si>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</si>
  <si>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</si>
  <si>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</si>
  <si>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</si>
  <si>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</si>
  <si>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</si>
  <si>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</si>
  <si>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Analytics engines are a large expense for a population health management program.  While internal hospital data can be of use in targeting patients for readmissions, etc, a wider scope of data is required for managing the patients who do not reach an inpatient facility but could at any time. In order to manage these patients well, a system that pulls data form outside the facility must be utilized.</t>
  </si>
  <si>
    <t>Example 1</t>
  </si>
  <si>
    <t>Hospital A</t>
  </si>
  <si>
    <t>Other</t>
  </si>
  <si>
    <t>External Partners</t>
  </si>
  <si>
    <t>Limit to 300 words or less.  You can provide supplementary program descriptions if you deem necessary.</t>
  </si>
  <si>
    <t>The program has been live for less than 60 days. Initial results are not available yet.</t>
  </si>
  <si>
    <t>Decrease in PAU metrics for this patient population.</t>
  </si>
  <si>
    <t>CRISP and external providers identified through CRISP</t>
  </si>
  <si>
    <t>1.0</t>
  </si>
  <si>
    <t>Nurse Practitioner</t>
  </si>
  <si>
    <t>Both</t>
  </si>
  <si>
    <t>Substance abuse patients with chronic medical conditions.</t>
  </si>
  <si>
    <t xml:space="preserve">We have off-site substance abuse programs that have patients with chronic medical conditions who are not receiving primary care. We hired a nurse practitioner with a behavioral health and substance abuse background to go to the off-site locations to provide basic primary care at the clinics and coordinate the transition of the patient to our Primary Care Medical Home. Our goal is to improve the health of these patients by hardwiring the care coordination between our off-site substance abuse clinics and Primary Care Medical Home. We are also utilizing CRISP alerts to help coordinate with other providers. </t>
  </si>
  <si>
    <t>Hospital B</t>
  </si>
  <si>
    <t>Example 2</t>
  </si>
  <si>
    <t>Doctors Community Hospital</t>
  </si>
  <si>
    <t>N/A</t>
  </si>
  <si>
    <t>Regulated</t>
  </si>
  <si>
    <t>KPMG, BRG</t>
  </si>
  <si>
    <t>Unregulated</t>
  </si>
  <si>
    <t>BRG Reports</t>
  </si>
  <si>
    <t>Annual Amount</t>
  </si>
  <si>
    <t>PQI/Other GBR reports</t>
  </si>
  <si>
    <t>* from invoices</t>
  </si>
  <si>
    <t>Detail of Total Expense:</t>
  </si>
  <si>
    <t>Sam's hours x rate</t>
  </si>
  <si>
    <t>KPMG Monthly / Daily</t>
  </si>
  <si>
    <t>TOTAL</t>
  </si>
  <si>
    <t>KPMG PMO expenses</t>
  </si>
  <si>
    <t>July 2013</t>
  </si>
  <si>
    <t>expenses from cost center 107920</t>
  </si>
  <si>
    <t>source: Insights</t>
  </si>
  <si>
    <t>KPMG expenses - planning</t>
  </si>
  <si>
    <t>* from proposal (3 months, $20K each)</t>
  </si>
  <si>
    <t>Sickle Cell patients</t>
  </si>
  <si>
    <t>change in staffing between FY13 and FY14</t>
  </si>
  <si>
    <t>Insights</t>
  </si>
  <si>
    <t>December 2012</t>
  </si>
  <si>
    <t>February 2014</t>
  </si>
  <si>
    <t>Sage consulting fees</t>
  </si>
  <si>
    <t>Premier CIN expenses</t>
  </si>
  <si>
    <t>Primary and Secondary Service Areas</t>
  </si>
  <si>
    <t>Megan's hours x rate</t>
  </si>
  <si>
    <t>assume 40 hours YTD Feb</t>
  </si>
  <si>
    <t>(same as FY14)</t>
  </si>
  <si>
    <t>CHF CLINIC</t>
  </si>
  <si>
    <t>Miles &amp; Stockbridge</t>
  </si>
  <si>
    <t>Premier Inc, Sage Growth Partners LLC, Miles &amp; Stockbridge</t>
  </si>
  <si>
    <t>January 2015</t>
  </si>
  <si>
    <t>Professional Fee (25%)</t>
  </si>
  <si>
    <t>Medical Strategies and Management</t>
  </si>
  <si>
    <t>MS2 Expenses</t>
  </si>
  <si>
    <t>Insights - 8610</t>
  </si>
  <si>
    <t>No</t>
  </si>
  <si>
    <t>July 2014</t>
  </si>
  <si>
    <t xml:space="preserve">Department directors, executive staff </t>
  </si>
  <si>
    <t>Quality Advisor</t>
  </si>
  <si>
    <t>Dr. Zama -  Medical Director (and $12,000 bonus)</t>
  </si>
  <si>
    <t>January 2014</t>
  </si>
  <si>
    <r>
      <rPr>
        <sz val="14"/>
        <color theme="1"/>
        <rFont val="Calibri"/>
        <family val="2"/>
        <scheme val="minor"/>
      </rPr>
      <t xml:space="preserve">Reduce readmissions and inappropriate admissions less than the statewide average; reduce MHAC's less than statewide average; improve QBR performance to be equal to, or better than, the statewide average.
</t>
    </r>
    <r>
      <rPr>
        <b/>
        <sz val="14"/>
        <color theme="1"/>
        <rFont val="Calibri"/>
        <family val="2"/>
        <scheme val="minor"/>
      </rPr>
      <t>Too soon to measure outcomes.</t>
    </r>
  </si>
  <si>
    <t>Highest PAU zip codes in PSA/SSA.</t>
  </si>
  <si>
    <t>Infusion department, Dr. Zama</t>
  </si>
  <si>
    <t>Capitol Cardiology</t>
  </si>
  <si>
    <t>Executive team, Finance, IT</t>
  </si>
  <si>
    <t>Executive Team, DCH Foundation, Case Management, Marketing, Corporate Compliance, Finance</t>
  </si>
  <si>
    <t>Hours: department directors, executive staff</t>
  </si>
  <si>
    <t>46 people x avg salary $100K x 20 hours each</t>
  </si>
  <si>
    <t>5 focus areas: CHF, COPD, Diabetes, Pneumonia, Renal Failure</t>
  </si>
  <si>
    <t>Hours</t>
  </si>
  <si>
    <t>100 x $100k salary average</t>
  </si>
  <si>
    <t>IT expense</t>
  </si>
  <si>
    <t>TBD</t>
  </si>
  <si>
    <t>Ambulatory Care Center - Leiland Hospital</t>
  </si>
  <si>
    <t>50% of Build out cost</t>
  </si>
  <si>
    <t>50% of build out covered by grant.  Cost reflected here is unfunded portion of build out cost.</t>
  </si>
  <si>
    <t>June 2015</t>
  </si>
  <si>
    <t>Executive staff, plant operations</t>
  </si>
  <si>
    <r>
      <t xml:space="preserve">Reduce inappropriate ER / Observation re-visits and PQI's by providing care in the community.
</t>
    </r>
    <r>
      <rPr>
        <b/>
        <sz val="14"/>
        <color theme="1"/>
        <rFont val="Calibri"/>
        <family val="2"/>
        <scheme val="minor"/>
      </rPr>
      <t>Not started yet.</t>
    </r>
  </si>
  <si>
    <r>
      <t xml:space="preserve">Reduce PAU's to statewide average.
</t>
    </r>
    <r>
      <rPr>
        <b/>
        <sz val="14"/>
        <color theme="1"/>
        <rFont val="Calibri"/>
        <family val="2"/>
        <scheme val="minor"/>
      </rPr>
      <t>To soon to measure outcomes due to ACO/CIN.</t>
    </r>
  </si>
  <si>
    <t>Southern Maryland Integrated Healthcare</t>
  </si>
  <si>
    <t>April 2014 - January 2015</t>
  </si>
  <si>
    <t>High utilizers, frequent flyers, PAU patients in our PSA/SSA</t>
  </si>
  <si>
    <t>IT, Finance, Executive team and department directors</t>
  </si>
  <si>
    <t>Case Management, Quality, Finance, Physicians, Medical Records, Pharmacy, IT, Patient Registration, Nursing, Executive Staff (CNO and CFO)</t>
  </si>
  <si>
    <t>Population health focused reports to track potentially avoidable utilization and identify key areas to focus on.  Routine reports are generated daily (Daily Scorecard), monthly (Monthly GBR Dashboard), and quarterly (BRG report) to help clinicians monitor their efforts centered around population health patient care.</t>
  </si>
  <si>
    <t>Fees: software</t>
  </si>
  <si>
    <t>softwares to maintain cost savings</t>
  </si>
  <si>
    <t>added st paul costs</t>
  </si>
  <si>
    <t>President cost from Jan 15 to June 15</t>
  </si>
  <si>
    <t>ACO analytical costs- estimated at $1m per year.</t>
  </si>
  <si>
    <t>MMS Primary Care software tool for Pop Health efforts</t>
  </si>
  <si>
    <t>medicare first</t>
  </si>
  <si>
    <t>Advisory Board</t>
  </si>
  <si>
    <t>quality software fees</t>
  </si>
  <si>
    <t xml:space="preserve">Regional Collaborative </t>
  </si>
  <si>
    <t>KPMG fees estimated</t>
  </si>
  <si>
    <t>to support PCP growth in Prince George's county</t>
  </si>
  <si>
    <t xml:space="preserve">MSO added staff - hours of CFO, CIO, DIR Rev Cycle, Sr. Dir Physicians </t>
  </si>
  <si>
    <t>6 month (24 mtgs) s, 4 hours a week, 4 staff, $150 per hour</t>
  </si>
  <si>
    <t>additional staffer for cost accounting efforts</t>
  </si>
  <si>
    <t>assume 1 hr/day to distribute daily</t>
  </si>
  <si>
    <t>Supply Expense (assumes variance from FY14 vs. FY13)</t>
  </si>
  <si>
    <t>MSO</t>
  </si>
  <si>
    <t>CIN</t>
  </si>
  <si>
    <t>ACO</t>
  </si>
  <si>
    <t>HCI JUL-JUNE</t>
  </si>
  <si>
    <t>YTD JUNE 2015</t>
  </si>
  <si>
    <t>march</t>
  </si>
  <si>
    <t>april</t>
  </si>
  <si>
    <t>may</t>
  </si>
  <si>
    <t>BRG Invoices (took over in May 2015)</t>
  </si>
  <si>
    <t>12 1-hour meetings (avg. 10 people/meeting)</t>
  </si>
  <si>
    <t>Hours from monthly meetings</t>
  </si>
  <si>
    <t>hours:</t>
  </si>
  <si>
    <t>did not happen</t>
  </si>
  <si>
    <t>thru April (April is final invoice)</t>
  </si>
  <si>
    <t>$165K covered by donation (restricted)</t>
  </si>
  <si>
    <t>all in CIN</t>
  </si>
  <si>
    <t>IN CIN COST CENTER:</t>
  </si>
  <si>
    <r>
      <t xml:space="preserve">Reduce readmissions and inappropriate admissions less than the statewide average; reduce MHAC's less than statewide average.
</t>
    </r>
    <r>
      <rPr>
        <b/>
        <sz val="14"/>
        <rFont val="Calibri"/>
        <family val="2"/>
        <scheme val="minor"/>
      </rPr>
      <t>1) Readmissions:  21% reduction in Readmissions (1.2% reduction in RA Rate) FY15 vs. FY14 (source: GBR monthly dashboard - June 2015)
2) PAU:  As a percent of total discharges, Primary Service Area PAU's are flat YTD CY 2015 (January - June 2015) vs. CY 2014, 4% reduction in Secondary Service Area PAU's  (source: GBR monthly dashboard - June 2015)
3) MHAC:  -16.4% reduction in Tier 1 PPC CYTD 2015 vs. FY 2014 (base year).  Overall, PPC are 3.9% greater than FY 2014.</t>
    </r>
  </si>
  <si>
    <r>
      <rPr>
        <strike/>
        <sz val="14"/>
        <color theme="1"/>
        <rFont val="Calibri"/>
        <family val="2"/>
        <scheme val="minor"/>
      </rPr>
      <t xml:space="preserve">Outcomes Imrovement Committee will be implemented in Q3 of FY 2015 to create structure and accountability around the reduction of potientially avoidable utilization.  </t>
    </r>
    <r>
      <rPr>
        <sz val="14"/>
        <color theme="1"/>
        <rFont val="Calibri"/>
        <family val="2"/>
        <scheme val="minor"/>
      </rPr>
      <t>Instead of the Committee, in May 2015, it was decided to change this to monthly MHAC and Readmission meetings.  The focus is still to reduce potentially avoidable utilization.</t>
    </r>
  </si>
  <si>
    <t>The Outcomes Improvement Committee was changed to monthly MHAC and Readmission meetings.  Due to this change and the delay in implementation, it is too soon to determine effectiveness.</t>
  </si>
  <si>
    <r>
      <rPr>
        <sz val="14"/>
        <color theme="1"/>
        <rFont val="Calibri"/>
        <family val="2"/>
        <scheme val="minor"/>
      </rPr>
      <t xml:space="preserve">Reduce readmissions and inappropriate admissions less than the statewide average; reduce MHAC's less than statewide average.  Increase education in the community (measured by number of visits to the mobile clinic).
</t>
    </r>
    <r>
      <rPr>
        <b/>
        <sz val="14"/>
        <color theme="1"/>
        <rFont val="Calibri"/>
        <family val="2"/>
        <scheme val="minor"/>
      </rPr>
      <t>Too soon to measure.</t>
    </r>
  </si>
  <si>
    <r>
      <t xml:space="preserve">Reduce sickle cell readmissions and admissions to statewide average.
</t>
    </r>
    <r>
      <rPr>
        <b/>
        <sz val="14"/>
        <color theme="1"/>
        <rFont val="Calibri"/>
        <family val="2"/>
        <scheme val="minor"/>
      </rPr>
      <t>Reduced sickle cell readmissions 54% FY 2015 vs. FY 2014.</t>
    </r>
  </si>
  <si>
    <r>
      <t xml:space="preserve">new hire </t>
    </r>
    <r>
      <rPr>
        <strike/>
        <sz val="11"/>
        <color theme="1"/>
        <rFont val="Calibri"/>
        <family val="2"/>
        <scheme val="minor"/>
      </rPr>
      <t>estimated in May and June</t>
    </r>
    <r>
      <rPr>
        <sz val="11"/>
        <color theme="1"/>
        <rFont val="Calibri"/>
        <family val="2"/>
        <scheme val="minor"/>
      </rPr>
      <t xml:space="preserve"> (will be in FY16 now)</t>
    </r>
  </si>
  <si>
    <t>Most cost savings were as estimated by Premier.  However, a few initiatives did not work out as planned, and therefore, we paid the 25% professional fee but did not realize expected savings.</t>
  </si>
  <si>
    <t>N/A - not started yet.</t>
  </si>
  <si>
    <r>
      <rPr>
        <strike/>
        <sz val="11"/>
        <color theme="1"/>
        <rFont val="Calibri"/>
        <family val="2"/>
        <scheme val="minor"/>
      </rPr>
      <t>from FY15 capital budget</t>
    </r>
    <r>
      <rPr>
        <sz val="11"/>
        <color theme="1"/>
        <rFont val="Calibri"/>
        <family val="2"/>
        <scheme val="minor"/>
      </rPr>
      <t xml:space="preserve"> - moved to FY16</t>
    </r>
  </si>
  <si>
    <t>July 26th, 2015</t>
  </si>
  <si>
    <t>Wal-Mart, Prince George's County Health Department</t>
  </si>
  <si>
    <t xml:space="preserve">The goals, as mentioned above, are to reduce readmission and inappropriate admissions by providing post-discharge follow up to our population.  We are also providing wellness visits and increasing education in the community.  It is too soon to measure the outcomes.  </t>
  </si>
  <si>
    <t xml:space="preserve">Implementation of the sickle cell clinic successfully reduced readmissons from FY14 to FY15.  Since implementation, we have learned that it is important to assure post discharge follow up visits.  This is being considered as next steps for our sickle cell clinic.  </t>
  </si>
  <si>
    <t>June 2013</t>
  </si>
  <si>
    <t>Transitional Care Nursing, Mid-level Provider, Medical Assistant</t>
  </si>
  <si>
    <t>FTE's:</t>
  </si>
  <si>
    <t>Claire currently works 12 hrs/week in the clinic</t>
  </si>
  <si>
    <t>Claire DiPiero - PA</t>
  </si>
  <si>
    <t xml:space="preserve">CHF Clinic:  The Congestive Heart Failure Clinic is a comprehensive program that provides:
+ An experienced and board-certified heart failure cardiologist
+ A holistic care approach that includes the collaborative services of pharmacy, nutrition, physical therapy, cardiology, physician assistant, social work, home health and hospice care professionals – all accessible on Doctors Community Hospital’s campus
+ Consultations for insured and uninsured patients who have physician referrals
As a healthcare partner, the clinic’s team collaborates with referring, primary care and cardiology physicians to keep them informed of their patients’ progress. Also, after completing a four-session
treatment program, a detailed report is sent electronically to referring physicians who will continue to care for their patients.  The objective of the CHF clinic is to help patients with heart disease better understand and manage their condition and to reduce CHF readmissions to DCH.  </t>
  </si>
  <si>
    <t>Patients with heart disease.</t>
  </si>
  <si>
    <t>Mobile Clinic:  The "Community Health Connector" is a mobile van that travels to various locations in Prince George’s County to help patients maintain or improve their health. The mobile clinic is staffed with DCH healthcare professionals.  The clinic provides a wide range of services to people ages 16 and older, including:
+ Blood pressure screenings
+ Electrocardiogram (EKG) testing
+ Flu and pneumonia vaccinations
+ Tetanus shots
+ HIV screenings
+ Pulmonary function testing
+ Routine physicals</t>
  </si>
  <si>
    <t>Wal-Mart Grant ($100,000)</t>
  </si>
  <si>
    <t>1.2 (0.6 Driver/Assistant &amp; 0.6 Midlevel Provider)</t>
  </si>
  <si>
    <t xml:space="preserve">Accountable Care Organization ("ACO") / Clinically Integrated Network ("CIN") / Primary Care Physician ("PCP") Network:  The rationale / primary objective for joining an ACO and building a Primary Care Physician network is to build relationships with physicians in the community.  The CIN will allow for gain sharing with the physicians once the business becomes profitable.
</t>
  </si>
  <si>
    <t xml:space="preserve">In FY 2015 we formed a management service agreement with one primary care physician.  The efforts to build the PCP network continue.  One barrier is that 50% of community physicians are not using EMR systems.  Another barrier is that there is no incentive for community physicians to participate with hospitals since they are reimbursed under fee-for-service. </t>
  </si>
  <si>
    <t>ER Through-put / Readmission Initiative (consulting by Medical Strategies and Management).  The objectives of this consulting engagement were to reduce ER wait times, increase patient satisfaction in the ED, reduce unneccessary admissions to the Telemetry unit that belong in a Med/Surg unit.  The second phase of the consulting engagement focused on reducing readmissions.</t>
  </si>
  <si>
    <t>November 2012</t>
  </si>
  <si>
    <t>May 2013</t>
  </si>
  <si>
    <t>no hospital staff</t>
  </si>
  <si>
    <t>Premier Cost Savings Initiatives Professional Fees: In an effort to reduce hospital costs, we reduced staffing, supply expenses, and other expenses to meet our goals versus our peers in Premier's national database.</t>
  </si>
  <si>
    <t>Premier Inc.</t>
  </si>
  <si>
    <t>Reduced direct expense costs to our patients.  Found $4.2M in hospital savings (implementation period over 2-years).</t>
  </si>
  <si>
    <t>None</t>
  </si>
  <si>
    <t>ROI = won't know until CY 2015 ends.  Data that will be gathered will include the reduction of physician charges, hospital charges, and physician quality results.</t>
  </si>
  <si>
    <t>no additional hospital staff</t>
  </si>
  <si>
    <t xml:space="preserve">Doctors Community Hostial ("DCH") is actively working to achieve the Triple Aim of healthcare and the goals of Maryland's All-Payer Model Agreement between the State of Maryland and the Center for Medicare &amp; Medicaid Innovation (CMMI).  Like FY 2014, these initiatives aim at keeping patients in our community healthy at home,  reducing hospital costs, and improving our quality of care in the hospital.  Our overall goal is to improve our results in patient-centered and population-focused performance standards.  To acheive these goals our initiatives range from the regulated settings of our hospital and the medical office building to the unregulated settings of our physician offices out in our community.   Under the flexibility of GBR funding, FY 2014 was the first year that DCH focused on population health initiatives.  Many of these initiatives continued into FY 2015 and two new initiatives related to reducing hospital costs and opening an ambulatory care center in the community were added.  </t>
  </si>
  <si>
    <t>Rate Order Value</t>
  </si>
  <si>
    <t>total readmissions reduced in one year</t>
  </si>
  <si>
    <t>Total savings</t>
  </si>
  <si>
    <t>Total one time cost of report design</t>
  </si>
  <si>
    <t>ROI</t>
  </si>
  <si>
    <t>Charges per case - FY 15 Projected Rate Order</t>
  </si>
  <si>
    <t>CYTD (January - June) 15 reduction percentage</t>
  </si>
  <si>
    <t>Sickle Cell Clinic: As a result of the review of readmission patients, the hospital identified that Sickle Cell patients were being readmitted due to the lack of proper outpatient protocols.  After discussions with the local physician practices and meetings with Johns Hopkins clinical representatives, the hospital decided to offer the Johns Hopkins protocols in our Infustion Clinic Center.  The clinic is staffed with DCH healthcare professionals and a Medical Director.  The objective is to reduce sickle cell readmissions (as defined by the HSCRC) while maintaining quality of care, reducing individual costs, and improving the community's health results.  Following the expansion of the Clinic's focus into the Sickle Cell protocols, the local physicians expanded their hours and services, both of which helped to reduce unnecessary ER visits.</t>
  </si>
  <si>
    <t>The CHF clinic was effective in reducing readmissions for those patients that were enrolled in the clinic.  Barriers include hesitation of private Cardiologists not prefering their patients to attend, or steering them away from the clinic.  The clinic would have improved effectiveness if all Cardiologists encouraged patient participation.  Another barrier encountered was patient transportation, as patients visit the clinic once/week.  We learned that we need to engage our CMO with the Cardiologists and identify readmissions per practice to help in identifying other care coordination programs to reduce CHF readmissions.</t>
  </si>
  <si>
    <t>Outcomes Percentage in Dollar Savings</t>
  </si>
  <si>
    <t>Return on investment:</t>
  </si>
  <si>
    <t>Savings</t>
  </si>
  <si>
    <t>Cost</t>
  </si>
  <si>
    <t>FY 13 total revenue (Base Year)</t>
  </si>
  <si>
    <t>FY 15 total revenue</t>
  </si>
  <si>
    <t>ROI = 8.86</t>
  </si>
  <si>
    <t>FY13</t>
  </si>
  <si>
    <t>FY14</t>
  </si>
  <si>
    <t>no additional hospital staff at this time</t>
  </si>
  <si>
    <t>FY 13 total revenue</t>
  </si>
  <si>
    <t>FY 14 total revenue</t>
  </si>
  <si>
    <t>Estimated Savings</t>
  </si>
  <si>
    <r>
      <t>This initiative was effective for improving throughput in the ED, however as the outcome measures show, diversion still needs improvement.  Barriers include community physicians meeting telemetry criteria which also affects our ability to reduce diversion</t>
    </r>
    <r>
      <rPr>
        <sz val="14"/>
        <color rgb="FFFF0000"/>
        <rFont val="Calibri"/>
        <family val="2"/>
        <scheme val="minor"/>
      </rPr>
      <t>.</t>
    </r>
    <r>
      <rPr>
        <sz val="14"/>
        <rFont val="Calibri"/>
        <family val="2"/>
        <scheme val="minor"/>
      </rPr>
      <t xml:space="preserve">  In FY 2016, the CMO will be discussing the addition of a Cardiology Medical Director who will discuss potential inappropriate telemetry admissions prior to the patient's transfer from the ED.  In response to the increase in Bed Request time and inappropriate telemetry admissions, Executive Leadership is now monitoring and discussing thru put issues during their weekly team meetings.</t>
    </r>
  </si>
  <si>
    <r>
      <t xml:space="preserve">Reduce CHF readmissions and admissions to statewide average.
</t>
    </r>
    <r>
      <rPr>
        <b/>
        <sz val="14"/>
        <color theme="1"/>
        <rFont val="Calibri"/>
        <family val="2"/>
        <scheme val="minor"/>
      </rPr>
      <t>295 CHF clinic patients YTD February FY 2015.  (Data for March - June is being gathered).</t>
    </r>
  </si>
  <si>
    <t>The reports are used to determine focus areas, however, more detail is required in order to develop specific action plans.  This led to the development of the Quality Outcomes committee (Investment 2).  These reports are shared monthly with hospital leadership (executive staff and department directors).</t>
  </si>
  <si>
    <t>CY 13 total number of expected readmissions (HSCRC)</t>
  </si>
  <si>
    <t>ROI = 3.25</t>
  </si>
  <si>
    <r>
      <t xml:space="preserve">Reduce Readmissions to statewide average.  Also, improve patient satisfaction.
</t>
    </r>
    <r>
      <rPr>
        <b/>
        <sz val="14"/>
        <rFont val="Calibri"/>
        <family val="2"/>
        <scheme val="minor"/>
      </rPr>
      <t xml:space="preserve">1) Readmissions:  21% reduction in Readmissions (1.2% reduction in RA Rate) FY15 vs. FY14 (source: GBR monthly dashboard - June 2015)
2) FY15 Press Ganey ED Patient Satisfaction survey shows improvement in all questions vs. FY14 results.  See summary below:
- Std. Overall 53.9% vs. 47.7% (Goal is 58%)
- Likelihood of Recommending 54.7% vs. 47.4%
3) Reduce ER Wait Times and Diversion.
-  Reduced Arrival to Provider from 87 minutes (FY14) to 54 minutes (FY15).
- </t>
    </r>
    <r>
      <rPr>
        <b/>
        <sz val="14"/>
        <color rgb="FFFF0000"/>
        <rFont val="Calibri"/>
        <family val="2"/>
        <scheme val="minor"/>
      </rPr>
      <t xml:space="preserve"> Increased Bed Request to ED Depart from 71 minutes (FY14) to 112 minutes (FY15).</t>
    </r>
    <r>
      <rPr>
        <b/>
        <sz val="14"/>
        <rFont val="Calibri"/>
        <family val="2"/>
        <scheme val="minor"/>
      </rPr>
      <t xml:space="preserve">
-  Diversion remains at the same level as the start of this initiative.  FY 2015's average was 89 hours/month.  Our goal is less than 50 hours/month.  </t>
    </r>
  </si>
  <si>
    <t>Planning Stage - ROI not applicable at this time.</t>
  </si>
  <si>
    <t>Data being gathered.</t>
  </si>
  <si>
    <t>ROI = 3.53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</si>
</sst>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2"/>
      <color rgb="FF000000"/>
      <name val="Times New Roman"/>
      <family val="1"/>
    </font>
    <font>
      <sz val="11"/>
      <color rgb="FF000000"/>
      <name val="Times New Roman"/>
      <family val="1"/>
    </font>
    <font>
      <strike/>
      <sz val="14"/>
      <color theme="1"/>
      <name val="Calibri"/>
      <family val="2"/>
      <scheme val="minor"/>
    </font>
    <font>
      <sz val="11"/>
      <name val="Calibri"/>
      <family val="2"/>
      <scheme val="minor"/>
    </font>
    <font>
      <b/>
      <sz val="14"/>
      <name val="Calibri"/>
      <family val="2"/>
      <scheme val="minor"/>
    </font>
    <font>
      <sz val="14"/>
      <name val="Calibri"/>
      <family val="2"/>
      <scheme val="minor"/>
    </font>
    <font>
      <strike/>
      <sz val="11"/>
      <color theme="1"/>
      <name val="Calibri"/>
      <family val="2"/>
      <scheme val="minor"/>
    </font>
    <font>
      <sz val="14"/>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0" xfId="0" applyFont="1"/>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right" wrapText="1"/>
    </xf>
    <xf numFmtId="0" fontId="4" fillId="0" borderId="1" xfId="0" applyFont="1" applyBorder="1" applyAlignment="1">
      <alignment horizontal="left" wrapText="1"/>
    </xf>
    <xf numFmtId="0" fontId="4" fillId="0" borderId="1" xfId="0" applyFont="1" applyBorder="1" applyAlignment="1">
      <alignment horizontal="left" vertical="top" wrapText="1"/>
    </xf>
    <xf numFmtId="6" fontId="4" fillId="0" borderId="1" xfId="0" applyNumberFormat="1" applyFont="1" applyBorder="1" applyAlignment="1">
      <alignment horizontal="left" wrapText="1"/>
    </xf>
    <xf numFmtId="16" fontId="4" fillId="0" borderId="1" xfId="0" applyNumberFormat="1"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2" fillId="0" borderId="1" xfId="1" applyFont="1" applyBorder="1" applyAlignment="1">
      <alignment horizontal="left" vertical="top" wrapText="1"/>
    </xf>
    <xf numFmtId="0" fontId="3" fillId="0" borderId="0" xfId="0" applyFont="1" applyAlignment="1">
      <alignment wrapText="1"/>
    </xf>
    <xf numFmtId="0" fontId="6" fillId="0" borderId="0" xfId="0" applyFont="1"/>
    <xf numFmtId="0" fontId="3"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0" fontId="2" fillId="0" borderId="1" xfId="1" applyFont="1" applyBorder="1" applyAlignment="1">
      <alignment horizontal="center" vertical="top" wrapText="1"/>
    </xf>
    <xf numFmtId="0" fontId="2" fillId="0" borderId="0" xfId="1" applyFont="1" applyBorder="1" applyAlignment="1">
      <alignment horizontal="center" vertical="top" wrapText="1"/>
    </xf>
    <xf numFmtId="0" fontId="0" fillId="0" borderId="0" xfId="0" applyFont="1"/>
    <xf numFmtId="0" fontId="3" fillId="0" borderId="1" xfId="0" applyFont="1" applyBorder="1"/>
    <xf numFmtId="0" fontId="0" fillId="0" borderId="1" xfId="0" applyBorder="1" applyAlignment="1">
      <alignment horizontal="left" vertical="center" wrapText="1"/>
    </xf>
    <xf numFmtId="0" fontId="0" fillId="0" borderId="1" xfId="0" applyBorder="1" applyAlignment="1">
      <alignment wrapText="1"/>
    </xf>
    <xf numFmtId="43" fontId="4" fillId="0" borderId="1" xfId="2" quotePrefix="1" applyFont="1" applyBorder="1" applyAlignment="1">
      <alignment wrapText="1"/>
    </xf>
    <xf numFmtId="0" fontId="0" fillId="0" borderId="0" xfId="0" quotePrefix="1" applyFont="1"/>
    <xf numFmtId="0" fontId="0" fillId="0" borderId="8" xfId="0" applyFont="1" applyBorder="1" applyAlignment="1">
      <alignment horizontal="center"/>
    </xf>
    <xf numFmtId="0" fontId="0" fillId="0" borderId="0" xfId="0" applyFont="1" applyAlignment="1">
      <alignment horizontal="left"/>
    </xf>
    <xf numFmtId="0" fontId="7" fillId="0" borderId="0" xfId="0" applyFont="1" applyAlignment="1">
      <alignment horizontal="left"/>
    </xf>
    <xf numFmtId="44" fontId="1" fillId="0" borderId="0" xfId="3" applyFont="1"/>
    <xf numFmtId="0" fontId="7" fillId="0" borderId="0" xfId="0" applyFont="1"/>
    <xf numFmtId="0" fontId="7" fillId="0" borderId="0" xfId="0" applyFont="1" applyAlignment="1">
      <alignment wrapText="1"/>
    </xf>
    <xf numFmtId="44" fontId="7" fillId="0" borderId="9" xfId="3" applyFont="1" applyBorder="1"/>
    <xf numFmtId="0" fontId="0" fillId="0" borderId="0" xfId="0" applyFont="1" applyBorder="1" applyAlignment="1">
      <alignment horizontal="center"/>
    </xf>
    <xf numFmtId="0" fontId="1" fillId="0" borderId="0" xfId="0" applyFont="1" applyBorder="1"/>
    <xf numFmtId="0" fontId="5" fillId="0" borderId="1" xfId="0" applyFont="1" applyBorder="1" applyAlignment="1">
      <alignment horizontal="left" vertical="top" wrapText="1"/>
    </xf>
    <xf numFmtId="16" fontId="4" fillId="0" borderId="1" xfId="0" quotePrefix="1" applyNumberFormat="1" applyFont="1" applyBorder="1" applyAlignment="1">
      <alignment horizontal="left" wrapText="1"/>
    </xf>
    <xf numFmtId="0" fontId="0" fillId="0" borderId="0" xfId="0" applyFont="1" applyAlignment="1">
      <alignment wrapText="1"/>
    </xf>
    <xf numFmtId="0" fontId="4" fillId="0" borderId="1" xfId="0" applyFont="1" applyFill="1" applyBorder="1" applyAlignment="1">
      <alignment horizontal="left" vertical="top" wrapText="1"/>
    </xf>
    <xf numFmtId="4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43" fontId="4" fillId="0" borderId="1" xfId="2" applyFont="1" applyFill="1" applyBorder="1" applyAlignment="1">
      <alignment horizontal="left" wrapText="1"/>
    </xf>
    <xf numFmtId="0" fontId="5" fillId="0" borderId="1" xfId="1" applyFont="1" applyFill="1" applyBorder="1" applyAlignment="1">
      <alignment horizontal="center" vertical="top" wrapText="1"/>
    </xf>
    <xf numFmtId="0" fontId="5" fillId="0" borderId="1" xfId="1" applyFont="1" applyFill="1" applyBorder="1" applyAlignment="1">
      <alignment horizontal="left" vertical="top" wrapText="1"/>
    </xf>
    <xf numFmtId="0" fontId="3" fillId="0" borderId="0" xfId="0" applyFont="1" applyFill="1"/>
    <xf numFmtId="0" fontId="1" fillId="0" borderId="0" xfId="0" applyFont="1" applyFill="1"/>
    <xf numFmtId="0" fontId="0" fillId="0" borderId="0" xfId="0" applyFont="1" applyFill="1"/>
    <xf numFmtId="0" fontId="0" fillId="0" borderId="0" xfId="0" quotePrefix="1" applyFont="1" applyFill="1"/>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2" fillId="0" borderId="0" xfId="1" applyFont="1" applyFill="1" applyBorder="1" applyAlignment="1">
      <alignment horizontal="center" vertical="top" wrapText="1"/>
    </xf>
    <xf numFmtId="0" fontId="1" fillId="0" borderId="0" xfId="0" applyFont="1" applyFill="1" applyAlignment="1">
      <alignment horizontal="left"/>
    </xf>
    <xf numFmtId="0" fontId="1" fillId="0" borderId="0" xfId="0" applyFont="1" applyFill="1" applyAlignment="1">
      <alignment wrapText="1"/>
    </xf>
    <xf numFmtId="0" fontId="7" fillId="0" borderId="0" xfId="0" applyFont="1" applyFill="1" applyAlignment="1">
      <alignment horizontal="left"/>
    </xf>
    <xf numFmtId="0" fontId="0" fillId="0" borderId="8" xfId="0" applyFont="1" applyFill="1" applyBorder="1" applyAlignment="1">
      <alignment horizontal="center"/>
    </xf>
    <xf numFmtId="44" fontId="1" fillId="0" borderId="0" xfId="3" applyFont="1" applyFill="1"/>
    <xf numFmtId="0" fontId="0" fillId="0" borderId="0" xfId="0" applyFont="1" applyFill="1" applyAlignment="1">
      <alignment horizontal="left"/>
    </xf>
    <xf numFmtId="0" fontId="7" fillId="0" borderId="0" xfId="0" applyFont="1" applyFill="1"/>
    <xf numFmtId="0" fontId="7" fillId="0" borderId="0" xfId="0" applyFont="1" applyFill="1" applyAlignment="1">
      <alignment wrapText="1"/>
    </xf>
    <xf numFmtId="44" fontId="7" fillId="0" borderId="9" xfId="3" applyFont="1" applyFill="1" applyBorder="1"/>
    <xf numFmtId="44" fontId="1" fillId="3" borderId="0" xfId="3" applyFont="1" applyFill="1"/>
    <xf numFmtId="0" fontId="4" fillId="0" borderId="1" xfId="0" applyFont="1" applyFill="1" applyBorder="1" applyAlignment="1">
      <alignment horizontal="right" wrapText="1"/>
    </xf>
    <xf numFmtId="43" fontId="4" fillId="0" borderId="1" xfId="2" applyFont="1" applyBorder="1" applyAlignment="1">
      <alignment horizontal="left" wrapText="1"/>
    </xf>
    <xf numFmtId="44" fontId="3" fillId="0" borderId="0" xfId="0" applyNumberFormat="1" applyFont="1" applyAlignment="1">
      <alignment wrapText="1"/>
    </xf>
    <xf numFmtId="44" fontId="3" fillId="0" borderId="0" xfId="0" applyNumberFormat="1" applyFont="1"/>
    <xf numFmtId="0" fontId="10" fillId="0" borderId="0" xfId="0" applyFont="1" applyAlignment="1">
      <alignment horizontal="justify" vertical="center"/>
    </xf>
    <xf numFmtId="0" fontId="11" fillId="0" borderId="0" xfId="0" applyFont="1" applyAlignment="1">
      <alignment horizontal="justify" vertical="center"/>
    </xf>
    <xf numFmtId="0" fontId="13" fillId="0" borderId="0" xfId="0" applyFont="1"/>
    <xf numFmtId="0" fontId="0" fillId="0" borderId="0" xfId="0" applyFont="1" applyFill="1" applyBorder="1"/>
    <xf numFmtId="164" fontId="1" fillId="0" borderId="0" xfId="2" applyNumberFormat="1" applyFont="1" applyFill="1" applyBorder="1"/>
    <xf numFmtId="0" fontId="15" fillId="0" borderId="1" xfId="0" applyFont="1" applyFill="1" applyBorder="1" applyAlignment="1">
      <alignment horizontal="left" vertical="top" wrapText="1"/>
    </xf>
    <xf numFmtId="0" fontId="0" fillId="3" borderId="0" xfId="0" applyFont="1" applyFill="1"/>
    <xf numFmtId="16" fontId="4" fillId="0" borderId="1" xfId="0" quotePrefix="1" applyNumberFormat="1" applyFont="1" applyFill="1" applyBorder="1" applyAlignment="1">
      <alignment horizontal="left"/>
    </xf>
    <xf numFmtId="43" fontId="4" fillId="0" borderId="1" xfId="2" applyFont="1" applyFill="1" applyBorder="1" applyAlignment="1">
      <alignment horizontal="right" wrapText="1"/>
    </xf>
    <xf numFmtId="10" fontId="1" fillId="0" borderId="0" xfId="4" applyNumberFormat="1" applyFont="1" applyFill="1"/>
    <xf numFmtId="164" fontId="7" fillId="0" borderId="14" xfId="2" applyNumberFormat="1" applyFont="1" applyFill="1" applyBorder="1"/>
    <xf numFmtId="44" fontId="1" fillId="0" borderId="0" xfId="3" applyFont="1" applyFill="1" applyAlignment="1">
      <alignment wrapText="1"/>
    </xf>
    <xf numFmtId="44" fontId="1" fillId="0" borderId="9" xfId="0" applyNumberFormat="1" applyFont="1" applyFill="1" applyBorder="1" applyAlignment="1">
      <alignment wrapText="1"/>
    </xf>
    <xf numFmtId="44" fontId="1" fillId="0" borderId="0" xfId="0" applyNumberFormat="1" applyFont="1" applyAlignment="1">
      <alignment wrapText="1"/>
    </xf>
    <xf numFmtId="43" fontId="1" fillId="0" borderId="0" xfId="2" applyFont="1" applyAlignment="1">
      <alignment wrapText="1"/>
    </xf>
    <xf numFmtId="164" fontId="1" fillId="0" borderId="0" xfId="2" applyNumberFormat="1" applyFont="1" applyFill="1"/>
    <xf numFmtId="0" fontId="5" fillId="0" borderId="0" xfId="1" applyFont="1" applyFill="1" applyBorder="1" applyAlignment="1">
      <alignment horizontal="center" vertical="top" wrapText="1"/>
    </xf>
    <xf numFmtId="9" fontId="1" fillId="0" borderId="0" xfId="4" applyFont="1" applyFill="1" applyAlignment="1">
      <alignment wrapText="1"/>
    </xf>
    <xf numFmtId="44" fontId="1" fillId="0" borderId="0" xfId="0" applyNumberFormat="1" applyFont="1" applyFill="1" applyAlignment="1">
      <alignment wrapText="1"/>
    </xf>
    <xf numFmtId="43" fontId="1" fillId="0" borderId="0" xfId="2" applyFont="1" applyFill="1" applyAlignment="1">
      <alignment wrapText="1"/>
    </xf>
    <xf numFmtId="0" fontId="0" fillId="0" borderId="0" xfId="0" applyFont="1" applyFill="1" applyAlignment="1">
      <alignment horizontal="left" indent="1"/>
    </xf>
    <xf numFmtId="44" fontId="3" fillId="0" borderId="1" xfId="3" applyFont="1" applyFill="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Font="1" applyBorder="1" applyAlignment="1">
      <alignment horizontal="center"/>
    </xf>
    <xf numFmtId="44" fontId="3" fillId="0" borderId="1" xfId="0" applyNumberFormat="1" applyFont="1" applyBorder="1" applyAlignment="1">
      <alignment horizontal="center"/>
    </xf>
    <xf numFmtId="0" fontId="3" fillId="0" borderId="1" xfId="0" applyFont="1" applyBorder="1" applyAlignment="1"/>
    <xf numFmtId="0" fontId="2" fillId="0" borderId="2" xfId="1" applyFont="1" applyBorder="1" applyAlignment="1">
      <alignment horizontal="center" vertical="top" wrapText="1"/>
    </xf>
    <xf numFmtId="0" fontId="2" fillId="0" borderId="3" xfId="1" applyFont="1" applyBorder="1" applyAlignment="1">
      <alignment horizontal="center" vertical="top" wrapText="1"/>
    </xf>
    <xf numFmtId="0" fontId="2" fillId="0" borderId="4" xfId="1" applyFont="1" applyBorder="1" applyAlignment="1">
      <alignment horizontal="center"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14" fontId="3" fillId="0" borderId="1" xfId="0" applyNumberFormat="1" applyFont="1" applyBorder="1" applyAlignment="1"/>
  </cellXfs>
  <cellStyles count="5">
    <cellStyle name="Comma" xfId="2" builtinId="3"/>
    <cellStyle name="Currency" xfId="3" builtinId="4"/>
    <cellStyle name="Normal" xfId="0" builtinId="0"/>
    <cellStyle name="Normal 2"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nelson.DCH/AppData/Local/Microsoft/Windows/Temporary%20Internet%20Files/Content.Outlook/WAKE3XFK/DCH%20HSCRC_GBR%20Investment%20in%20Infrastructure%20Reporting%20Template_FY%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1"/>
      <sheetName val="Tab 2 Investment 2"/>
      <sheetName val="Tab 2 Investment 3"/>
      <sheetName val="Tab 2 Investment 4"/>
      <sheetName val="Tab 2 Investment 5"/>
      <sheetName val="Tab 2 Investment 6"/>
      <sheetName val="Tab 2 Investment 7"/>
      <sheetName val="Tab 2 Investment 8"/>
      <sheetName val="Instructions"/>
      <sheetName val="Example 1"/>
      <sheetName val="Example 2"/>
    </sheetNames>
    <sheetDataSet>
      <sheetData sheetId="0">
        <row r="1">
          <cell r="B1" t="str">
            <v>Doctors Community Hospital</v>
          </cell>
        </row>
      </sheetData>
      <sheetData sheetId="1"/>
      <sheetData sheetId="2"/>
      <sheetData sheetId="3"/>
      <sheetData sheetId="4">
        <row r="12">
          <cell r="C12">
            <v>0.39663461538461536</v>
          </cell>
        </row>
      </sheetData>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view="pageBreakPreview" zoomScaleNormal="100" zoomScaleSheetLayoutView="100" workbookViewId="0">
      <selection activeCell="B2" sqref="B2:E2"/>
    </sheetView>
  </sheetViews>
  <sheetFormatPr defaultRowHeight="15.75" x14ac:dyDescent="0.25"/>
  <cols>
    <col min="1" max="1" width="25.85546875" style="1" bestFit="1" customWidth="1"/>
    <col min="2" max="5" width="9.140625" style="1"/>
    <col min="6" max="6" width="4.28515625" style="1" customWidth="1"/>
    <col min="7" max="8" width="9.140625" style="1"/>
    <col min="9" max="9" width="16.5703125" style="1" customWidth="1"/>
    <col min="10" max="13" width="9.140625" style="1"/>
    <col min="14" max="14" width="3.85546875" style="1" customWidth="1"/>
    <col min="15" max="15" width="50.7109375" style="15" customWidth="1"/>
    <col min="16" max="16" width="15.7109375" style="1" bestFit="1" customWidth="1"/>
    <col min="17" max="16384" width="9.140625" style="1"/>
  </cols>
  <sheetData>
    <row r="1" spans="1:17" x14ac:dyDescent="0.25">
      <c r="A1" s="4" t="s">
        <v>0</v>
      </c>
      <c r="B1" s="104" t="s">
        <v>61</v>
      </c>
      <c r="C1" s="104"/>
      <c r="D1" s="104"/>
      <c r="E1" s="104"/>
      <c r="G1" s="91" t="s">
        <v>7</v>
      </c>
      <c r="H1" s="91"/>
      <c r="I1" s="91"/>
      <c r="J1" s="102"/>
      <c r="K1" s="102"/>
      <c r="L1" s="102"/>
      <c r="M1" s="102"/>
      <c r="O1" s="1" t="s">
        <v>201</v>
      </c>
    </row>
    <row r="2" spans="1:17" x14ac:dyDescent="0.25">
      <c r="A2" s="2" t="s">
        <v>4</v>
      </c>
      <c r="B2" s="111">
        <v>42277</v>
      </c>
      <c r="C2" s="104"/>
      <c r="D2" s="104"/>
      <c r="E2" s="104"/>
      <c r="G2" s="91" t="s">
        <v>30</v>
      </c>
      <c r="H2" s="91"/>
      <c r="I2" s="91"/>
      <c r="J2" s="103">
        <f>'Tab 2 Investment 1'!C6+'Tab 2 Investment 2'!C6+'Tab 2 Investment 3'!C6+'Tab 2 Investment 4'!C6+'Tab 2 Investment 5'!C6+'Tab 2 Investment 6'!C6+'Tab 2 Investment 7'!C6+'Tab 2 Investment 8'!C6</f>
        <v>4029415.9953846158</v>
      </c>
      <c r="K2" s="102"/>
      <c r="L2" s="102"/>
      <c r="M2" s="102"/>
      <c r="O2" s="90">
        <v>701230.13676203263</v>
      </c>
    </row>
    <row r="3" spans="1:17" x14ac:dyDescent="0.25">
      <c r="A3" s="3" t="s">
        <v>5</v>
      </c>
      <c r="B3" s="104" t="s">
        <v>62</v>
      </c>
      <c r="C3" s="104"/>
      <c r="D3" s="104"/>
      <c r="E3" s="104"/>
      <c r="G3" s="91"/>
      <c r="H3" s="91"/>
      <c r="I3" s="91"/>
      <c r="J3" s="102"/>
      <c r="K3" s="102"/>
      <c r="L3" s="102"/>
      <c r="M3" s="102"/>
    </row>
    <row r="4" spans="1:17" x14ac:dyDescent="0.25">
      <c r="P4" s="68">
        <f>SUM(P5:P25)</f>
        <v>4029415.9953846158</v>
      </c>
      <c r="Q4" s="67">
        <f>+P4-J2</f>
        <v>0</v>
      </c>
    </row>
    <row r="5" spans="1:17" ht="47.25" customHeight="1" x14ac:dyDescent="0.25">
      <c r="A5" s="92" t="s">
        <v>6</v>
      </c>
      <c r="B5" s="93" t="s">
        <v>200</v>
      </c>
      <c r="C5" s="94"/>
      <c r="D5" s="94"/>
      <c r="E5" s="94"/>
      <c r="F5" s="94"/>
      <c r="G5" s="94"/>
      <c r="H5" s="94"/>
      <c r="I5" s="94"/>
      <c r="J5" s="94"/>
      <c r="K5" s="94"/>
      <c r="L5" s="94"/>
      <c r="M5" s="95"/>
      <c r="N5" s="1">
        <v>1</v>
      </c>
      <c r="O5" s="15" t="str">
        <f>+'Tab 2 Investment 1'!$C$4</f>
        <v>Population health focused reports to track potentially avoidable utilization and identify key areas to focus on.  Routine reports are generated daily (Daily Scorecard), monthly (Monthly GBR Dashboard), and quarterly (BRG report) to help clinicians monitor their efforts centered around population health patient care.</v>
      </c>
      <c r="P5" s="67">
        <f>+'Tab 2 Investment 1'!$C$6</f>
        <v>365967.15</v>
      </c>
      <c r="Q5" s="15"/>
    </row>
    <row r="6" spans="1:17" ht="126" x14ac:dyDescent="0.25">
      <c r="A6" s="92"/>
      <c r="B6" s="96"/>
      <c r="C6" s="97"/>
      <c r="D6" s="97"/>
      <c r="E6" s="97"/>
      <c r="F6" s="97"/>
      <c r="G6" s="97"/>
      <c r="H6" s="97"/>
      <c r="I6" s="97"/>
      <c r="J6" s="97"/>
      <c r="K6" s="97"/>
      <c r="L6" s="97"/>
      <c r="M6" s="98"/>
      <c r="N6" s="1">
        <v>2</v>
      </c>
      <c r="O6" s="15" t="str">
        <f>+'Tab 2 Investment 2'!$C$4</f>
        <v>Outcomes Imrovement Committee will be implemented in Q3 of FY 2015 to create structure and accountability around the reduction of potientially avoidable utilization.  Instead of the Committee, in May 2015, it was decided to change this to monthly MHAC and Readmission meetings.  The focus is still to reduce potentially avoidable utilization.</v>
      </c>
      <c r="P6" s="67">
        <f>+'Tab 2 Investment 2'!$C$6</f>
        <v>160528.76384615386</v>
      </c>
    </row>
    <row r="7" spans="1:17" ht="220.5" x14ac:dyDescent="0.25">
      <c r="A7" s="92"/>
      <c r="B7" s="96"/>
      <c r="C7" s="97"/>
      <c r="D7" s="97"/>
      <c r="E7" s="97"/>
      <c r="F7" s="97"/>
      <c r="G7" s="97"/>
      <c r="H7" s="97"/>
      <c r="I7" s="97"/>
      <c r="J7" s="97"/>
      <c r="K7" s="97"/>
      <c r="L7" s="97"/>
      <c r="M7" s="98"/>
      <c r="N7" s="1">
        <v>3</v>
      </c>
      <c r="O7" s="15" t="str">
        <f>+'Tab 2 Investment 3'!$C$4</f>
        <v>Mobile Clinic:  The "Community Health Connector" is a mobile van that travels to various locations in Prince George’s County to help patients maintain or improve their health. The mobile clinic is staffed with DCH healthcare professionals.  The clinic provides a wide range of services to people ages 16 and older, including:
+ Blood pressure screenings
+ Electrocardiogram (EKG) testing
+ Flu and pneumonia vaccinations
+ Tetanus shots
+ HIV screenings
+ Pulmonary function testing
+ Routine physicals</v>
      </c>
      <c r="P7" s="67">
        <f>+'Tab 2 Investment 3'!$C$6</f>
        <v>4807.6923076923076</v>
      </c>
    </row>
    <row r="8" spans="1:17" ht="283.5" x14ac:dyDescent="0.25">
      <c r="A8" s="92"/>
      <c r="B8" s="96"/>
      <c r="C8" s="97"/>
      <c r="D8" s="97"/>
      <c r="E8" s="97"/>
      <c r="F8" s="97"/>
      <c r="G8" s="97"/>
      <c r="H8" s="97"/>
      <c r="I8" s="97"/>
      <c r="J8" s="97"/>
      <c r="K8" s="97"/>
      <c r="L8" s="97"/>
      <c r="M8" s="98"/>
      <c r="N8" s="1">
        <v>4</v>
      </c>
      <c r="O8" s="15" t="str">
        <f>+'Tab 2 Investment 4'!$C$4</f>
        <v>Sickle Cell Clinic: As a result of the review of readmission patients, the hospital identified that Sickle Cell patients were being readmitted due to the lack of proper outpatient protocols.  After discussions with the local physician practices and meetings with Johns Hopkins clinical representatives, the hospital decided to offer the Johns Hopkins protocols in our Infustion Clinic Center.  The clinic is staffed with DCH healthcare professionals and a Medical Director.  The objective is to reduce sickle cell readmissions (as defined by the HSCRC) while maintaining quality of care, reducing individual costs, and improving the community's health results.  Following the expansion of the Clinic's focus into the Sickle Cell protocols, the local physicians expanded their hours and services, both of which helped to reduce unnecessary ER visits.</v>
      </c>
      <c r="P8" s="67">
        <f>+'Tab 2 Investment 4'!$C$6</f>
        <v>79771.600000000006</v>
      </c>
    </row>
    <row r="9" spans="1:17" ht="15.75" customHeight="1" x14ac:dyDescent="0.25">
      <c r="A9" s="92"/>
      <c r="B9" s="96"/>
      <c r="C9" s="97"/>
      <c r="D9" s="97"/>
      <c r="E9" s="97"/>
      <c r="F9" s="97"/>
      <c r="G9" s="97"/>
      <c r="H9" s="97"/>
      <c r="I9" s="97"/>
      <c r="J9" s="97"/>
      <c r="K9" s="97"/>
      <c r="L9" s="97"/>
      <c r="M9" s="98"/>
      <c r="N9" s="1">
        <v>5</v>
      </c>
      <c r="O9" s="15" t="str">
        <f>+'Tab 2 Investment 5'!$C$4</f>
        <v xml:space="preserve">CHF Clinic:  The Congestive Heart Failure Clinic is a comprehensive program that provides:
+ An experienced and board-certified heart failure cardiologist
+ A holistic care approach that includes the collaborative services of pharmacy, nutrition, physical therapy, cardiology, physician assistant, social work, home health and hospice care professionals – all accessible on Doctors Community Hospital’s campus
+ Consultations for insured and uninsured patients who have physician referrals
As a healthcare partner, the clinic’s team collaborates with referring, primary care and cardiology physicians to keep them informed of their patients’ progress. Also, after completing a four-session
treatment program, a detailed report is sent electronically to referring physicians who will continue to care for their patients.  The objective of the CHF clinic is to help patients with heart disease better understand and manage their condition and to reduce CHF readmissions to DCH.  </v>
      </c>
      <c r="P9" s="67">
        <f>+'Tab 2 Investment 5'!$C$6</f>
        <v>185036</v>
      </c>
    </row>
    <row r="10" spans="1:17" ht="141.75" x14ac:dyDescent="0.25">
      <c r="A10" s="92"/>
      <c r="B10" s="96"/>
      <c r="C10" s="97"/>
      <c r="D10" s="97"/>
      <c r="E10" s="97"/>
      <c r="F10" s="97"/>
      <c r="G10" s="97"/>
      <c r="H10" s="97"/>
      <c r="I10" s="97"/>
      <c r="J10" s="97"/>
      <c r="K10" s="97"/>
      <c r="L10" s="97"/>
      <c r="M10" s="98"/>
      <c r="N10" s="1">
        <v>6</v>
      </c>
      <c r="O10" s="15" t="str">
        <f>+'Tab 2 Investment 6'!$C$4</f>
        <v xml:space="preserve">Accountable Care Organization ("ACO") / Clinically Integrated Network ("CIN") / Primary Care Physician ("PCP") Network:  The rationale / primary objective for joining an ACO and building a Primary Care Physician network is to build relationships with physicians in the community.  The CIN will allow for gain sharing with the physicians once the business becomes profitable.
</v>
      </c>
      <c r="P10" s="67">
        <f>+'Tab 2 Investment 6'!$C$6</f>
        <v>1747040</v>
      </c>
    </row>
    <row r="11" spans="1:17" ht="126" x14ac:dyDescent="0.25">
      <c r="A11" s="92"/>
      <c r="B11" s="96"/>
      <c r="C11" s="97"/>
      <c r="D11" s="97"/>
      <c r="E11" s="97"/>
      <c r="F11" s="97"/>
      <c r="G11" s="97"/>
      <c r="H11" s="97"/>
      <c r="I11" s="97"/>
      <c r="J11" s="97"/>
      <c r="K11" s="97"/>
      <c r="L11" s="97"/>
      <c r="M11" s="98"/>
      <c r="N11" s="1">
        <v>7</v>
      </c>
      <c r="O11" s="15" t="str">
        <f>+'Tab 2 Investment 7'!$C$4</f>
        <v>ER Through-put / Readmission Initiative (consulting by Medical Strategies and Management).  The objectives of this consulting engagement were to reduce ER wait times, increase patient satisfaction in the ED, reduce unneccessary admissions to the Telemetry unit that belong in a Med/Surg unit.  The second phase of the consulting engagement focused on reducing readmissions.</v>
      </c>
      <c r="P11" s="67">
        <f>+'Tab 2 Investment 7'!$C$6</f>
        <v>243959.77</v>
      </c>
    </row>
    <row r="12" spans="1:17" ht="78.75" x14ac:dyDescent="0.25">
      <c r="A12" s="92"/>
      <c r="B12" s="96"/>
      <c r="C12" s="97"/>
      <c r="D12" s="97"/>
      <c r="E12" s="97"/>
      <c r="F12" s="97"/>
      <c r="G12" s="97"/>
      <c r="H12" s="97"/>
      <c r="I12" s="97"/>
      <c r="J12" s="97"/>
      <c r="K12" s="97"/>
      <c r="L12" s="97"/>
      <c r="M12" s="98"/>
      <c r="N12" s="1">
        <v>8</v>
      </c>
      <c r="O12" s="15" t="str">
        <f>+'Tab 2 Investment 8'!$C$4</f>
        <v>Premier Cost Savings Initiatives Professional Fees: In an effort to reduce hospital costs, we reduced staffing, supply expenses, and other expenses to meet our goals versus our peers in Premier's national database.</v>
      </c>
      <c r="P12" s="67">
        <f>+'Tab 2 Investment 8'!$C$6</f>
        <v>1242305.0192307692</v>
      </c>
    </row>
    <row r="13" spans="1:17" x14ac:dyDescent="0.25">
      <c r="A13" s="92"/>
      <c r="B13" s="96"/>
      <c r="C13" s="97"/>
      <c r="D13" s="97"/>
      <c r="E13" s="97"/>
      <c r="F13" s="97"/>
      <c r="G13" s="97"/>
      <c r="H13" s="97"/>
      <c r="I13" s="97"/>
      <c r="J13" s="97"/>
      <c r="K13" s="97"/>
      <c r="L13" s="97"/>
      <c r="M13" s="98"/>
      <c r="N13" s="1">
        <v>9</v>
      </c>
      <c r="O13" s="15" t="str">
        <f>+'Tab 2 Investment 9'!$C$4</f>
        <v>Ambulatory Care Center - Leiland Hospital</v>
      </c>
      <c r="P13" s="67">
        <f>+'Tab 2 Investment 9'!$C$6</f>
        <v>0</v>
      </c>
    </row>
    <row r="14" spans="1:17" x14ac:dyDescent="0.25">
      <c r="A14" s="92"/>
      <c r="B14" s="96"/>
      <c r="C14" s="97"/>
      <c r="D14" s="97"/>
      <c r="E14" s="97"/>
      <c r="F14" s="97"/>
      <c r="G14" s="97"/>
      <c r="H14" s="97"/>
      <c r="I14" s="97"/>
      <c r="J14" s="97"/>
      <c r="K14" s="97"/>
      <c r="L14" s="97"/>
      <c r="M14" s="98"/>
      <c r="P14" s="67"/>
    </row>
    <row r="15" spans="1:17" x14ac:dyDescent="0.25">
      <c r="A15" s="92"/>
      <c r="B15" s="96"/>
      <c r="C15" s="97"/>
      <c r="D15" s="97"/>
      <c r="E15" s="97"/>
      <c r="F15" s="97"/>
      <c r="G15" s="97"/>
      <c r="H15" s="97"/>
      <c r="I15" s="97"/>
      <c r="J15" s="97"/>
      <c r="K15" s="97"/>
      <c r="L15" s="97"/>
      <c r="M15" s="98"/>
      <c r="O15" s="15" t="s">
        <v>133</v>
      </c>
      <c r="P15" s="67"/>
    </row>
    <row r="16" spans="1:17" x14ac:dyDescent="0.25">
      <c r="A16" s="92"/>
      <c r="B16" s="96"/>
      <c r="C16" s="97"/>
      <c r="D16" s="97"/>
      <c r="E16" s="97"/>
      <c r="F16" s="97"/>
      <c r="G16" s="97"/>
      <c r="H16" s="97"/>
      <c r="I16" s="97"/>
      <c r="J16" s="97"/>
      <c r="K16" s="97"/>
      <c r="L16" s="97"/>
      <c r="M16" s="98"/>
      <c r="P16" s="67"/>
    </row>
    <row r="17" spans="1:16" x14ac:dyDescent="0.25">
      <c r="A17" s="92"/>
      <c r="B17" s="96"/>
      <c r="C17" s="97"/>
      <c r="D17" s="97"/>
      <c r="E17" s="97"/>
      <c r="F17" s="97"/>
      <c r="G17" s="97"/>
      <c r="H17" s="97"/>
      <c r="I17" s="97"/>
      <c r="J17" s="97"/>
      <c r="K17" s="97"/>
      <c r="L17" s="97"/>
      <c r="M17" s="98"/>
      <c r="P17" s="67"/>
    </row>
    <row r="18" spans="1:16" x14ac:dyDescent="0.25">
      <c r="A18" s="92"/>
      <c r="B18" s="96"/>
      <c r="C18" s="97"/>
      <c r="D18" s="97"/>
      <c r="E18" s="97"/>
      <c r="F18" s="97"/>
      <c r="G18" s="97"/>
      <c r="H18" s="97"/>
      <c r="I18" s="97"/>
      <c r="J18" s="97"/>
      <c r="K18" s="97"/>
      <c r="L18" s="97"/>
      <c r="M18" s="98"/>
      <c r="P18" s="67"/>
    </row>
    <row r="19" spans="1:16" x14ac:dyDescent="0.25">
      <c r="A19" s="92"/>
      <c r="B19" s="96"/>
      <c r="C19" s="97"/>
      <c r="D19" s="97"/>
      <c r="E19" s="97"/>
      <c r="F19" s="97"/>
      <c r="G19" s="97"/>
      <c r="H19" s="97"/>
      <c r="I19" s="97"/>
      <c r="J19" s="97"/>
      <c r="K19" s="97"/>
      <c r="L19" s="97"/>
      <c r="M19" s="98"/>
      <c r="P19" s="67"/>
    </row>
    <row r="20" spans="1:16" x14ac:dyDescent="0.25">
      <c r="A20" s="92"/>
      <c r="B20" s="96"/>
      <c r="C20" s="97"/>
      <c r="D20" s="97"/>
      <c r="E20" s="97"/>
      <c r="F20" s="97"/>
      <c r="G20" s="97"/>
      <c r="H20" s="97"/>
      <c r="I20" s="97"/>
      <c r="J20" s="97"/>
      <c r="K20" s="97"/>
      <c r="L20" s="97"/>
      <c r="M20" s="98"/>
      <c r="P20" s="67"/>
    </row>
    <row r="21" spans="1:16" x14ac:dyDescent="0.25">
      <c r="A21" s="92"/>
      <c r="B21" s="96"/>
      <c r="C21" s="97"/>
      <c r="D21" s="97"/>
      <c r="E21" s="97"/>
      <c r="F21" s="97"/>
      <c r="G21" s="97"/>
      <c r="H21" s="97"/>
      <c r="I21" s="97"/>
      <c r="J21" s="97"/>
      <c r="K21" s="97"/>
      <c r="L21" s="97"/>
      <c r="M21" s="98"/>
      <c r="P21" s="67"/>
    </row>
    <row r="22" spans="1:16" x14ac:dyDescent="0.25">
      <c r="A22" s="92"/>
      <c r="B22" s="96"/>
      <c r="C22" s="97"/>
      <c r="D22" s="97"/>
      <c r="E22" s="97"/>
      <c r="F22" s="97"/>
      <c r="G22" s="97"/>
      <c r="H22" s="97"/>
      <c r="I22" s="97"/>
      <c r="J22" s="97"/>
      <c r="K22" s="97"/>
      <c r="L22" s="97"/>
      <c r="M22" s="98"/>
    </row>
    <row r="23" spans="1:16" x14ac:dyDescent="0.25">
      <c r="A23" s="92"/>
      <c r="B23" s="96"/>
      <c r="C23" s="97"/>
      <c r="D23" s="97"/>
      <c r="E23" s="97"/>
      <c r="F23" s="97"/>
      <c r="G23" s="97"/>
      <c r="H23" s="97"/>
      <c r="I23" s="97"/>
      <c r="J23" s="97"/>
      <c r="K23" s="97"/>
      <c r="L23" s="97"/>
      <c r="M23" s="98"/>
    </row>
    <row r="24" spans="1:16" x14ac:dyDescent="0.25">
      <c r="A24" s="92"/>
      <c r="B24" s="96"/>
      <c r="C24" s="97"/>
      <c r="D24" s="97"/>
      <c r="E24" s="97"/>
      <c r="F24" s="97"/>
      <c r="G24" s="97"/>
      <c r="H24" s="97"/>
      <c r="I24" s="97"/>
      <c r="J24" s="97"/>
      <c r="K24" s="97"/>
      <c r="L24" s="97"/>
      <c r="M24" s="98"/>
    </row>
    <row r="25" spans="1:16" x14ac:dyDescent="0.25">
      <c r="A25" s="92"/>
      <c r="B25" s="96"/>
      <c r="C25" s="97"/>
      <c r="D25" s="97"/>
      <c r="E25" s="97"/>
      <c r="F25" s="97"/>
      <c r="G25" s="97"/>
      <c r="H25" s="97"/>
      <c r="I25" s="97"/>
      <c r="J25" s="97"/>
      <c r="K25" s="97"/>
      <c r="L25" s="97"/>
      <c r="M25" s="98"/>
    </row>
    <row r="26" spans="1:16" x14ac:dyDescent="0.25">
      <c r="A26" s="92"/>
      <c r="B26" s="96"/>
      <c r="C26" s="97"/>
      <c r="D26" s="97"/>
      <c r="E26" s="97"/>
      <c r="F26" s="97"/>
      <c r="G26" s="97"/>
      <c r="H26" s="97"/>
      <c r="I26" s="97"/>
      <c r="J26" s="97"/>
      <c r="K26" s="97"/>
      <c r="L26" s="97"/>
      <c r="M26" s="98"/>
    </row>
    <row r="27" spans="1:16" x14ac:dyDescent="0.25">
      <c r="A27" s="92"/>
      <c r="B27" s="96"/>
      <c r="C27" s="97"/>
      <c r="D27" s="97"/>
      <c r="E27" s="97"/>
      <c r="F27" s="97"/>
      <c r="G27" s="97"/>
      <c r="H27" s="97"/>
      <c r="I27" s="97"/>
      <c r="J27" s="97"/>
      <c r="K27" s="97"/>
      <c r="L27" s="97"/>
      <c r="M27" s="98"/>
    </row>
    <row r="28" spans="1:16" x14ac:dyDescent="0.25">
      <c r="A28" s="92"/>
      <c r="B28" s="96"/>
      <c r="C28" s="97"/>
      <c r="D28" s="97"/>
      <c r="E28" s="97"/>
      <c r="F28" s="97"/>
      <c r="G28" s="97"/>
      <c r="H28" s="97"/>
      <c r="I28" s="97"/>
      <c r="J28" s="97"/>
      <c r="K28" s="97"/>
      <c r="L28" s="97"/>
      <c r="M28" s="98"/>
    </row>
    <row r="29" spans="1:16" x14ac:dyDescent="0.25">
      <c r="A29" s="92"/>
      <c r="B29" s="96"/>
      <c r="C29" s="97"/>
      <c r="D29" s="97"/>
      <c r="E29" s="97"/>
      <c r="F29" s="97"/>
      <c r="G29" s="97"/>
      <c r="H29" s="97"/>
      <c r="I29" s="97"/>
      <c r="J29" s="97"/>
      <c r="K29" s="97"/>
      <c r="L29" s="97"/>
      <c r="M29" s="98"/>
    </row>
    <row r="30" spans="1:16" x14ac:dyDescent="0.25">
      <c r="A30" s="92"/>
      <c r="B30" s="96"/>
      <c r="C30" s="97"/>
      <c r="D30" s="97"/>
      <c r="E30" s="97"/>
      <c r="F30" s="97"/>
      <c r="G30" s="97"/>
      <c r="H30" s="97"/>
      <c r="I30" s="97"/>
      <c r="J30" s="97"/>
      <c r="K30" s="97"/>
      <c r="L30" s="97"/>
      <c r="M30" s="98"/>
    </row>
    <row r="31" spans="1:16" x14ac:dyDescent="0.25">
      <c r="A31" s="92"/>
      <c r="B31" s="96"/>
      <c r="C31" s="97"/>
      <c r="D31" s="97"/>
      <c r="E31" s="97"/>
      <c r="F31" s="97"/>
      <c r="G31" s="97"/>
      <c r="H31" s="97"/>
      <c r="I31" s="97"/>
      <c r="J31" s="97"/>
      <c r="K31" s="97"/>
      <c r="L31" s="97"/>
      <c r="M31" s="98"/>
    </row>
    <row r="32" spans="1:16" x14ac:dyDescent="0.25">
      <c r="A32" s="92"/>
      <c r="B32" s="96"/>
      <c r="C32" s="97"/>
      <c r="D32" s="97"/>
      <c r="E32" s="97"/>
      <c r="F32" s="97"/>
      <c r="G32" s="97"/>
      <c r="H32" s="97"/>
      <c r="I32" s="97"/>
      <c r="J32" s="97"/>
      <c r="K32" s="97"/>
      <c r="L32" s="97"/>
      <c r="M32" s="98"/>
    </row>
    <row r="33" spans="1:13" x14ac:dyDescent="0.25">
      <c r="A33" s="92"/>
      <c r="B33" s="96"/>
      <c r="C33" s="97"/>
      <c r="D33" s="97"/>
      <c r="E33" s="97"/>
      <c r="F33" s="97"/>
      <c r="G33" s="97"/>
      <c r="H33" s="97"/>
      <c r="I33" s="97"/>
      <c r="J33" s="97"/>
      <c r="K33" s="97"/>
      <c r="L33" s="97"/>
      <c r="M33" s="98"/>
    </row>
    <row r="34" spans="1:13" x14ac:dyDescent="0.25">
      <c r="A34" s="92"/>
      <c r="B34" s="96"/>
      <c r="C34" s="97"/>
      <c r="D34" s="97"/>
      <c r="E34" s="97"/>
      <c r="F34" s="97"/>
      <c r="G34" s="97"/>
      <c r="H34" s="97"/>
      <c r="I34" s="97"/>
      <c r="J34" s="97"/>
      <c r="K34" s="97"/>
      <c r="L34" s="97"/>
      <c r="M34" s="98"/>
    </row>
    <row r="35" spans="1:13" x14ac:dyDescent="0.25">
      <c r="A35" s="92"/>
      <c r="B35" s="99"/>
      <c r="C35" s="100"/>
      <c r="D35" s="100"/>
      <c r="E35" s="100"/>
      <c r="F35" s="100"/>
      <c r="G35" s="100"/>
      <c r="H35" s="100"/>
      <c r="I35" s="100"/>
      <c r="J35" s="100"/>
      <c r="K35" s="100"/>
      <c r="L35" s="100"/>
      <c r="M35" s="101"/>
    </row>
  </sheetData>
  <mergeCells count="11">
    <mergeCell ref="G3:I3"/>
    <mergeCell ref="A5:A35"/>
    <mergeCell ref="B5:M35"/>
    <mergeCell ref="J1:M1"/>
    <mergeCell ref="J2:M2"/>
    <mergeCell ref="J3:M3"/>
    <mergeCell ref="G1:I1"/>
    <mergeCell ref="G2:I2"/>
    <mergeCell ref="B1:E1"/>
    <mergeCell ref="B2:E2"/>
    <mergeCell ref="B3:E3"/>
  </mergeCells>
  <pageMargins left="0.45" right="0.45" top="0.75" bottom="0.75" header="0.3" footer="0.3"/>
  <pageSetup scale="46" orientation="landscape" cellComments="asDisplayed" r:id="rId1"/>
  <headerFooter>
    <oddHeader>&amp;R&amp;D  &amp;T</oddHeader>
    <oddFooter>&amp;L&amp;F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9</v>
      </c>
    </row>
    <row r="2" spans="1:4" ht="18.75" x14ac:dyDescent="0.3">
      <c r="A2" s="12">
        <v>2</v>
      </c>
      <c r="B2" s="13" t="s">
        <v>8</v>
      </c>
      <c r="C2" s="5" t="s">
        <v>61</v>
      </c>
    </row>
    <row r="3" spans="1:4" ht="21.75" customHeight="1" x14ac:dyDescent="0.3">
      <c r="A3" s="12">
        <v>3</v>
      </c>
      <c r="B3" s="13" t="s">
        <v>24</v>
      </c>
      <c r="C3" s="5" t="s">
        <v>16</v>
      </c>
    </row>
    <row r="4" spans="1:4" ht="103.5" customHeight="1" x14ac:dyDescent="0.25">
      <c r="A4" s="12">
        <v>4</v>
      </c>
      <c r="B4" s="13" t="s">
        <v>25</v>
      </c>
      <c r="C4" s="6" t="s">
        <v>118</v>
      </c>
      <c r="D4" s="24"/>
    </row>
    <row r="5" spans="1:4" ht="21.75" customHeight="1" x14ac:dyDescent="0.3">
      <c r="A5" s="12">
        <v>5</v>
      </c>
      <c r="B5" s="13" t="s">
        <v>15</v>
      </c>
      <c r="C5" s="44" t="s">
        <v>87</v>
      </c>
      <c r="D5" s="24"/>
    </row>
    <row r="6" spans="1:4" ht="21.75" customHeight="1" x14ac:dyDescent="0.3">
      <c r="A6" s="12">
        <v>6</v>
      </c>
      <c r="B6" s="13" t="s">
        <v>2</v>
      </c>
      <c r="C6" s="43">
        <v>0</v>
      </c>
      <c r="D6" s="29"/>
    </row>
    <row r="7" spans="1:4" ht="37.5" x14ac:dyDescent="0.3">
      <c r="A7" s="12">
        <v>7</v>
      </c>
      <c r="B7" s="13" t="s">
        <v>3</v>
      </c>
      <c r="C7" s="7" t="s">
        <v>120</v>
      </c>
    </row>
    <row r="8" spans="1:4" ht="45.75" customHeight="1" x14ac:dyDescent="0.3">
      <c r="A8" s="12">
        <v>8</v>
      </c>
      <c r="B8" s="13" t="s">
        <v>14</v>
      </c>
      <c r="C8" s="5" t="s">
        <v>65</v>
      </c>
    </row>
    <row r="9" spans="1:4" ht="21.75" customHeight="1" x14ac:dyDescent="0.3">
      <c r="A9" s="12">
        <v>9</v>
      </c>
      <c r="B9" s="13" t="s">
        <v>10</v>
      </c>
      <c r="C9" s="53" t="s">
        <v>100</v>
      </c>
    </row>
    <row r="10" spans="1:4" ht="21.75" customHeight="1" x14ac:dyDescent="0.3">
      <c r="A10" s="12">
        <v>10</v>
      </c>
      <c r="B10" s="13" t="s">
        <v>9</v>
      </c>
      <c r="C10" s="40" t="s">
        <v>121</v>
      </c>
    </row>
    <row r="11" spans="1:4" ht="21.75" customHeight="1" x14ac:dyDescent="0.3">
      <c r="A11" s="12">
        <v>11</v>
      </c>
      <c r="B11" s="13" t="s">
        <v>13</v>
      </c>
      <c r="C11" s="5" t="s">
        <v>122</v>
      </c>
    </row>
    <row r="12" spans="1:4" ht="21.75" customHeight="1" x14ac:dyDescent="0.3">
      <c r="A12" s="12">
        <v>12</v>
      </c>
      <c r="B12" s="13" t="s">
        <v>27</v>
      </c>
      <c r="C12" s="44" t="s">
        <v>219</v>
      </c>
    </row>
    <row r="13" spans="1:4" ht="21.75" customHeight="1" x14ac:dyDescent="0.3">
      <c r="A13" s="12">
        <v>13</v>
      </c>
      <c r="B13" s="13" t="s">
        <v>49</v>
      </c>
      <c r="C13" s="5" t="s">
        <v>197</v>
      </c>
    </row>
    <row r="14" spans="1:4" ht="44.25" customHeight="1" x14ac:dyDescent="0.3">
      <c r="A14" s="12">
        <v>14</v>
      </c>
      <c r="B14" s="13" t="s">
        <v>1</v>
      </c>
      <c r="C14" s="5" t="s">
        <v>99</v>
      </c>
    </row>
    <row r="15" spans="1:4" ht="56.25" x14ac:dyDescent="0.25">
      <c r="A15" s="12">
        <v>15</v>
      </c>
      <c r="B15" s="13" t="s">
        <v>29</v>
      </c>
      <c r="C15" s="42" t="s">
        <v>123</v>
      </c>
    </row>
    <row r="16" spans="1:4" ht="94.5" customHeight="1" x14ac:dyDescent="0.3">
      <c r="A16" s="12">
        <v>16</v>
      </c>
      <c r="B16" s="13" t="s">
        <v>11</v>
      </c>
      <c r="C16" s="5" t="s">
        <v>172</v>
      </c>
    </row>
    <row r="17" spans="1:4" ht="41.25" customHeight="1" x14ac:dyDescent="0.3">
      <c r="A17" s="12">
        <v>17</v>
      </c>
      <c r="B17" s="13" t="s">
        <v>12</v>
      </c>
      <c r="C17" s="5" t="s">
        <v>229</v>
      </c>
    </row>
    <row r="18" spans="1:4" ht="15.75" x14ac:dyDescent="0.25">
      <c r="A18" s="23"/>
    </row>
    <row r="19" spans="1:4" ht="15.75" x14ac:dyDescent="0.25">
      <c r="A19" s="23"/>
    </row>
    <row r="20" spans="1:4" x14ac:dyDescent="0.25">
      <c r="B20" s="32" t="s">
        <v>70</v>
      </c>
      <c r="D20" s="30" t="s">
        <v>67</v>
      </c>
    </row>
    <row r="21" spans="1:4" x14ac:dyDescent="0.25">
      <c r="B21" s="24" t="s">
        <v>119</v>
      </c>
      <c r="C21" s="41" t="s">
        <v>173</v>
      </c>
      <c r="D21" s="33">
        <f>760000*0.5</f>
        <v>380000</v>
      </c>
    </row>
    <row r="22" spans="1:4" x14ac:dyDescent="0.25">
      <c r="B22" s="24"/>
      <c r="C22" s="24"/>
      <c r="D22" s="33"/>
    </row>
    <row r="23" spans="1:4" x14ac:dyDescent="0.25">
      <c r="B23" s="24"/>
      <c r="C23" s="41"/>
      <c r="D23" s="33"/>
    </row>
    <row r="24" spans="1:4" x14ac:dyDescent="0.25">
      <c r="B24" s="31"/>
      <c r="D24" s="33"/>
    </row>
    <row r="25" spans="1:4" ht="15.75" thickBot="1" x14ac:dyDescent="0.3">
      <c r="B25" s="32" t="s">
        <v>73</v>
      </c>
      <c r="D25" s="36">
        <f>SUM(D21:D24)</f>
        <v>380000</v>
      </c>
    </row>
    <row r="26" spans="1:4" s="34" customFormat="1" ht="15.75" thickTop="1" x14ac:dyDescent="0.25">
      <c r="C26" s="35"/>
    </row>
  </sheetData>
  <pageMargins left="0.45" right="0.45" top="0.75" bottom="0.75" header="0.3" footer="0.3"/>
  <pageSetup scale="69"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RowHeight="15.75" x14ac:dyDescent="0.25"/>
  <cols>
    <col min="1" max="1" width="9.140625" style="1"/>
    <col min="2" max="2" width="72.5703125" style="1" customWidth="1"/>
    <col min="3" max="3" width="72.5703125" style="15" customWidth="1"/>
    <col min="4" max="16384" width="9.140625" style="1"/>
  </cols>
  <sheetData>
    <row r="1" spans="1:3" ht="18.75" x14ac:dyDescent="0.3">
      <c r="A1" s="17"/>
      <c r="B1" s="18" t="s">
        <v>37</v>
      </c>
      <c r="C1" s="19" t="s">
        <v>42</v>
      </c>
    </row>
    <row r="2" spans="1:3" ht="31.5" x14ac:dyDescent="0.25">
      <c r="A2" s="22">
        <v>1</v>
      </c>
      <c r="B2" s="14" t="s">
        <v>43</v>
      </c>
      <c r="C2" s="20" t="s">
        <v>44</v>
      </c>
    </row>
    <row r="3" spans="1:3" x14ac:dyDescent="0.25">
      <c r="A3" s="22">
        <v>2</v>
      </c>
      <c r="B3" s="14" t="s">
        <v>8</v>
      </c>
      <c r="C3" s="20"/>
    </row>
    <row r="4" spans="1:3" x14ac:dyDescent="0.25">
      <c r="A4" s="105">
        <v>3</v>
      </c>
      <c r="B4" s="108" t="s">
        <v>24</v>
      </c>
      <c r="C4" s="20" t="s">
        <v>22</v>
      </c>
    </row>
    <row r="5" spans="1:3" x14ac:dyDescent="0.25">
      <c r="A5" s="106"/>
      <c r="B5" s="109"/>
      <c r="C5" s="20" t="s">
        <v>16</v>
      </c>
    </row>
    <row r="6" spans="1:3" x14ac:dyDescent="0.25">
      <c r="A6" s="106"/>
      <c r="B6" s="109"/>
      <c r="C6" s="20" t="s">
        <v>23</v>
      </c>
    </row>
    <row r="7" spans="1:3" x14ac:dyDescent="0.25">
      <c r="A7" s="107"/>
      <c r="B7" s="110"/>
      <c r="C7" s="25" t="s">
        <v>48</v>
      </c>
    </row>
    <row r="8" spans="1:3" ht="31.5" x14ac:dyDescent="0.25">
      <c r="A8" s="22">
        <v>4</v>
      </c>
      <c r="B8" s="14" t="s">
        <v>25</v>
      </c>
      <c r="C8" s="20" t="s">
        <v>50</v>
      </c>
    </row>
    <row r="9" spans="1:3" ht="47.25" x14ac:dyDescent="0.25">
      <c r="A9" s="22">
        <v>5</v>
      </c>
      <c r="B9" s="14" t="s">
        <v>15</v>
      </c>
      <c r="C9" s="20" t="s">
        <v>31</v>
      </c>
    </row>
    <row r="10" spans="1:3" ht="47.25" x14ac:dyDescent="0.25">
      <c r="A10" s="22">
        <v>6</v>
      </c>
      <c r="B10" s="14" t="s">
        <v>2</v>
      </c>
      <c r="C10" s="20" t="s">
        <v>32</v>
      </c>
    </row>
    <row r="11" spans="1:3" ht="31.5" x14ac:dyDescent="0.25">
      <c r="A11" s="22">
        <v>7</v>
      </c>
      <c r="B11" s="14" t="s">
        <v>3</v>
      </c>
      <c r="C11" s="21" t="s">
        <v>33</v>
      </c>
    </row>
    <row r="12" spans="1:3" x14ac:dyDescent="0.25">
      <c r="A12" s="22">
        <v>8</v>
      </c>
      <c r="B12" s="14" t="s">
        <v>14</v>
      </c>
      <c r="C12" s="20"/>
    </row>
    <row r="13" spans="1:3" x14ac:dyDescent="0.25">
      <c r="A13" s="22">
        <v>9</v>
      </c>
      <c r="B13" s="14" t="s">
        <v>10</v>
      </c>
      <c r="C13" s="20" t="s">
        <v>34</v>
      </c>
    </row>
    <row r="14" spans="1:3" x14ac:dyDescent="0.25">
      <c r="A14" s="22">
        <v>10</v>
      </c>
      <c r="B14" s="14" t="s">
        <v>9</v>
      </c>
      <c r="C14" s="20" t="s">
        <v>35</v>
      </c>
    </row>
    <row r="15" spans="1:3" ht="47.25" x14ac:dyDescent="0.25">
      <c r="A15" s="22">
        <v>11</v>
      </c>
      <c r="B15" s="14" t="s">
        <v>13</v>
      </c>
      <c r="C15" s="20" t="s">
        <v>36</v>
      </c>
    </row>
    <row r="16" spans="1:3" ht="30" x14ac:dyDescent="0.25">
      <c r="A16" s="22">
        <v>12</v>
      </c>
      <c r="B16" s="14" t="s">
        <v>27</v>
      </c>
      <c r="C16" s="26" t="s">
        <v>38</v>
      </c>
    </row>
    <row r="17" spans="1:3" ht="30" x14ac:dyDescent="0.25">
      <c r="A17" s="22">
        <v>13</v>
      </c>
      <c r="B17" s="14" t="s">
        <v>49</v>
      </c>
      <c r="C17" s="27" t="s">
        <v>39</v>
      </c>
    </row>
    <row r="18" spans="1:3" ht="60" x14ac:dyDescent="0.25">
      <c r="A18" s="22">
        <v>14</v>
      </c>
      <c r="B18" s="14" t="s">
        <v>1</v>
      </c>
      <c r="C18" s="27" t="s">
        <v>40</v>
      </c>
    </row>
    <row r="19" spans="1:3" ht="75" x14ac:dyDescent="0.25">
      <c r="A19" s="22">
        <v>15</v>
      </c>
      <c r="B19" s="14" t="s">
        <v>29</v>
      </c>
      <c r="C19" s="27" t="s">
        <v>41</v>
      </c>
    </row>
    <row r="20" spans="1:3" ht="31.5" x14ac:dyDescent="0.25">
      <c r="A20" s="22">
        <v>16</v>
      </c>
      <c r="B20" s="14" t="s">
        <v>11</v>
      </c>
      <c r="C20" s="20"/>
    </row>
    <row r="21" spans="1:3" x14ac:dyDescent="0.25">
      <c r="A21" s="22">
        <v>17</v>
      </c>
      <c r="B21" s="14" t="s">
        <v>12</v>
      </c>
      <c r="C21" s="20"/>
    </row>
    <row r="25" spans="1:3" x14ac:dyDescent="0.25">
      <c r="B25" s="16"/>
    </row>
  </sheetData>
  <mergeCells count="2">
    <mergeCell ref="A4:A7"/>
    <mergeCell ref="B4:B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5" zoomScale="80" zoomScaleNormal="80" workbookViewId="0">
      <selection activeCell="C16" sqref="C16"/>
    </sheetView>
  </sheetViews>
  <sheetFormatPr defaultRowHeight="15" x14ac:dyDescent="0.25"/>
  <cols>
    <col min="1" max="1" width="9.140625" style="9"/>
    <col min="2" max="2" width="84.7109375" style="10" customWidth="1"/>
    <col min="3" max="3" width="91.140625" style="11" customWidth="1"/>
    <col min="4" max="16384" width="9.140625" style="9"/>
  </cols>
  <sheetData>
    <row r="1" spans="1:3" s="1" customFormat="1" ht="18.75" x14ac:dyDescent="0.3">
      <c r="A1" s="12">
        <v>1</v>
      </c>
      <c r="B1" s="13" t="s">
        <v>43</v>
      </c>
      <c r="C1" s="5" t="s">
        <v>46</v>
      </c>
    </row>
    <row r="2" spans="1:3" ht="18.75" x14ac:dyDescent="0.3">
      <c r="A2" s="12">
        <v>2</v>
      </c>
      <c r="B2" s="13" t="s">
        <v>8</v>
      </c>
      <c r="C2" s="5" t="s">
        <v>47</v>
      </c>
    </row>
    <row r="3" spans="1:3" ht="21.75" customHeight="1" x14ac:dyDescent="0.3">
      <c r="A3" s="12">
        <v>3</v>
      </c>
      <c r="B3" s="13" t="s">
        <v>24</v>
      </c>
      <c r="C3" s="5" t="s">
        <v>23</v>
      </c>
    </row>
    <row r="4" spans="1:3" ht="103.5" customHeight="1" x14ac:dyDescent="0.25">
      <c r="A4" s="12">
        <v>4</v>
      </c>
      <c r="B4" s="13" t="s">
        <v>25</v>
      </c>
      <c r="C4" s="6" t="s">
        <v>26</v>
      </c>
    </row>
    <row r="5" spans="1:3" ht="21.75" customHeight="1" x14ac:dyDescent="0.3">
      <c r="A5" s="12">
        <v>5</v>
      </c>
      <c r="B5" s="13" t="s">
        <v>15</v>
      </c>
      <c r="C5" s="5" t="s">
        <v>17</v>
      </c>
    </row>
    <row r="6" spans="1:3" ht="21.75" customHeight="1" x14ac:dyDescent="0.3">
      <c r="A6" s="12">
        <v>6</v>
      </c>
      <c r="B6" s="13" t="s">
        <v>2</v>
      </c>
      <c r="C6" s="5" t="s">
        <v>19</v>
      </c>
    </row>
    <row r="7" spans="1:3" ht="21.75" customHeight="1" x14ac:dyDescent="0.3">
      <c r="A7" s="12">
        <v>7</v>
      </c>
      <c r="B7" s="13" t="s">
        <v>3</v>
      </c>
      <c r="C7" s="7">
        <v>0</v>
      </c>
    </row>
    <row r="8" spans="1:3" ht="45.75" customHeight="1" x14ac:dyDescent="0.3">
      <c r="A8" s="12">
        <v>8</v>
      </c>
      <c r="B8" s="13" t="s">
        <v>14</v>
      </c>
      <c r="C8" s="5" t="s">
        <v>18</v>
      </c>
    </row>
    <row r="9" spans="1:3" ht="21.75" customHeight="1" x14ac:dyDescent="0.3">
      <c r="A9" s="12">
        <v>9</v>
      </c>
      <c r="B9" s="13" t="s">
        <v>10</v>
      </c>
      <c r="C9" s="8">
        <v>41864</v>
      </c>
    </row>
    <row r="10" spans="1:3" ht="21.75" customHeight="1" x14ac:dyDescent="0.3">
      <c r="A10" s="12">
        <v>10</v>
      </c>
      <c r="B10" s="13" t="s">
        <v>9</v>
      </c>
      <c r="C10" s="8">
        <v>41743</v>
      </c>
    </row>
    <row r="11" spans="1:3" ht="21.75" customHeight="1" x14ac:dyDescent="0.3">
      <c r="A11" s="12">
        <v>11</v>
      </c>
      <c r="B11" s="13" t="s">
        <v>13</v>
      </c>
      <c r="C11" s="5" t="s">
        <v>20</v>
      </c>
    </row>
    <row r="12" spans="1:3" ht="21.75" customHeight="1" x14ac:dyDescent="0.3">
      <c r="A12" s="12">
        <v>12</v>
      </c>
      <c r="B12" s="13" t="s">
        <v>27</v>
      </c>
      <c r="C12" s="5">
        <v>2.1</v>
      </c>
    </row>
    <row r="13" spans="1:3" ht="21.75" customHeight="1" x14ac:dyDescent="0.3">
      <c r="A13" s="12">
        <v>13</v>
      </c>
      <c r="B13" s="13" t="s">
        <v>49</v>
      </c>
      <c r="C13" s="5" t="s">
        <v>21</v>
      </c>
    </row>
    <row r="14" spans="1:3" ht="44.25" customHeight="1" x14ac:dyDescent="0.3">
      <c r="A14" s="12">
        <v>14</v>
      </c>
      <c r="B14" s="13" t="s">
        <v>1</v>
      </c>
      <c r="C14" s="5" t="s">
        <v>21</v>
      </c>
    </row>
    <row r="15" spans="1:3" ht="43.5" customHeight="1" x14ac:dyDescent="0.25">
      <c r="A15" s="12">
        <v>15</v>
      </c>
      <c r="B15" s="13" t="s">
        <v>29</v>
      </c>
      <c r="C15" s="6" t="s">
        <v>28</v>
      </c>
    </row>
    <row r="16" spans="1:3" ht="112.5" x14ac:dyDescent="0.3">
      <c r="A16" s="12">
        <v>16</v>
      </c>
      <c r="B16" s="13" t="s">
        <v>11</v>
      </c>
      <c r="C16" s="5" t="s">
        <v>45</v>
      </c>
    </row>
    <row r="17" spans="1:3" ht="41.25" customHeight="1" x14ac:dyDescent="0.3">
      <c r="A17" s="12">
        <v>17</v>
      </c>
      <c r="B17" s="13" t="s">
        <v>12</v>
      </c>
      <c r="C17" s="5"/>
    </row>
    <row r="18" spans="1:3" ht="15.75" x14ac:dyDescent="0.25">
      <c r="A18" s="23"/>
    </row>
    <row r="19" spans="1:3" ht="15.75" x14ac:dyDescent="0.2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Instructions!$C$4:$C$6</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91" zoomScaleNormal="91" workbookViewId="0">
      <selection activeCell="C4" sqref="C4"/>
    </sheetView>
  </sheetViews>
  <sheetFormatPr defaultRowHeight="15" x14ac:dyDescent="0.25"/>
  <cols>
    <col min="1" max="1" width="9.140625" style="9"/>
    <col min="2" max="2" width="84.7109375" style="10" customWidth="1"/>
    <col min="3" max="3" width="91.140625" style="11" customWidth="1"/>
    <col min="4" max="16384" width="9.140625" style="9"/>
  </cols>
  <sheetData>
    <row r="1" spans="1:3" s="1" customFormat="1" ht="18.75" x14ac:dyDescent="0.3">
      <c r="A1" s="12">
        <v>1</v>
      </c>
      <c r="B1" s="13" t="s">
        <v>43</v>
      </c>
      <c r="C1" s="5" t="s">
        <v>60</v>
      </c>
    </row>
    <row r="2" spans="1:3" ht="18.75" x14ac:dyDescent="0.3">
      <c r="A2" s="12">
        <v>2</v>
      </c>
      <c r="B2" s="13" t="s">
        <v>8</v>
      </c>
      <c r="C2" s="5" t="s">
        <v>59</v>
      </c>
    </row>
    <row r="3" spans="1:3" ht="21.75" customHeight="1" x14ac:dyDescent="0.3">
      <c r="A3" s="12">
        <v>3</v>
      </c>
      <c r="B3" s="13" t="s">
        <v>24</v>
      </c>
      <c r="C3" s="5" t="s">
        <v>22</v>
      </c>
    </row>
    <row r="4" spans="1:3" ht="186" customHeight="1" x14ac:dyDescent="0.25">
      <c r="A4" s="12">
        <v>4</v>
      </c>
      <c r="B4" s="13" t="s">
        <v>25</v>
      </c>
      <c r="C4" s="6" t="s">
        <v>58</v>
      </c>
    </row>
    <row r="5" spans="1:3" ht="48" customHeight="1" x14ac:dyDescent="0.3">
      <c r="A5" s="12">
        <v>5</v>
      </c>
      <c r="B5" s="13" t="s">
        <v>15</v>
      </c>
      <c r="C5" s="5" t="s">
        <v>57</v>
      </c>
    </row>
    <row r="6" spans="1:3" ht="21.75" customHeight="1" x14ac:dyDescent="0.3">
      <c r="A6" s="12">
        <v>6</v>
      </c>
      <c r="B6" s="13" t="s">
        <v>2</v>
      </c>
      <c r="C6" s="7">
        <v>123000</v>
      </c>
    </row>
    <row r="7" spans="1:3" ht="21.75" customHeight="1" x14ac:dyDescent="0.3">
      <c r="A7" s="12">
        <v>7</v>
      </c>
      <c r="B7" s="13" t="s">
        <v>3</v>
      </c>
      <c r="C7" s="7">
        <v>0</v>
      </c>
    </row>
    <row r="8" spans="1:3" ht="45.75" customHeight="1" x14ac:dyDescent="0.3">
      <c r="A8" s="12">
        <v>8</v>
      </c>
      <c r="B8" s="13" t="s">
        <v>14</v>
      </c>
      <c r="C8" s="5" t="s">
        <v>56</v>
      </c>
    </row>
    <row r="9" spans="1:3" ht="21.75" customHeight="1" x14ac:dyDescent="0.3">
      <c r="A9" s="12">
        <v>9</v>
      </c>
      <c r="B9" s="13" t="s">
        <v>10</v>
      </c>
      <c r="C9" s="8">
        <v>41743</v>
      </c>
    </row>
    <row r="10" spans="1:3" ht="21.75" customHeight="1" x14ac:dyDescent="0.3">
      <c r="A10" s="12">
        <v>10</v>
      </c>
      <c r="B10" s="13" t="s">
        <v>9</v>
      </c>
      <c r="C10" s="8">
        <v>41865</v>
      </c>
    </row>
    <row r="11" spans="1:3" ht="21.75" customHeight="1" x14ac:dyDescent="0.3">
      <c r="A11" s="12">
        <v>11</v>
      </c>
      <c r="B11" s="13" t="s">
        <v>13</v>
      </c>
      <c r="C11" s="5" t="s">
        <v>55</v>
      </c>
    </row>
    <row r="12" spans="1:3" ht="21.75" customHeight="1" x14ac:dyDescent="0.3">
      <c r="A12" s="12">
        <v>12</v>
      </c>
      <c r="B12" s="13" t="s">
        <v>27</v>
      </c>
      <c r="C12" s="28" t="s">
        <v>54</v>
      </c>
    </row>
    <row r="13" spans="1:3" ht="21.75" customHeight="1" x14ac:dyDescent="0.3">
      <c r="A13" s="12">
        <v>13</v>
      </c>
      <c r="B13" s="13" t="s">
        <v>49</v>
      </c>
      <c r="C13" s="5" t="s">
        <v>53</v>
      </c>
    </row>
    <row r="14" spans="1:3" ht="44.25" customHeight="1" x14ac:dyDescent="0.3">
      <c r="A14" s="12">
        <v>14</v>
      </c>
      <c r="B14" s="13" t="s">
        <v>1</v>
      </c>
      <c r="C14" s="5" t="s">
        <v>21</v>
      </c>
    </row>
    <row r="15" spans="1:3" ht="43.5" customHeight="1" x14ac:dyDescent="0.25">
      <c r="A15" s="12">
        <v>15</v>
      </c>
      <c r="B15" s="13" t="s">
        <v>29</v>
      </c>
      <c r="C15" s="6" t="s">
        <v>52</v>
      </c>
    </row>
    <row r="16" spans="1:3" ht="94.5" customHeight="1" x14ac:dyDescent="0.3">
      <c r="A16" s="12">
        <v>16</v>
      </c>
      <c r="B16" s="13" t="s">
        <v>11</v>
      </c>
      <c r="C16" s="5" t="s">
        <v>51</v>
      </c>
    </row>
    <row r="17" spans="1:3" ht="41.25" customHeight="1" x14ac:dyDescent="0.3">
      <c r="A17" s="12">
        <v>17</v>
      </c>
      <c r="B17" s="13" t="s">
        <v>12</v>
      </c>
      <c r="C17" s="5"/>
    </row>
    <row r="18" spans="1:3" ht="15.75" x14ac:dyDescent="0.25">
      <c r="A18" s="23"/>
    </row>
    <row r="19" spans="1:3" ht="15.75" x14ac:dyDescent="0.2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[3]Instructions!#REF!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9"/>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8.28515625" style="9" bestFit="1" customWidth="1"/>
    <col min="5" max="16384" width="9.140625" style="9"/>
  </cols>
  <sheetData>
    <row r="1" spans="1:4" s="1" customFormat="1" ht="18.75" x14ac:dyDescent="0.3">
      <c r="A1" s="12">
        <v>1</v>
      </c>
      <c r="B1" s="13" t="s">
        <v>43</v>
      </c>
      <c r="C1" s="5">
        <v>1</v>
      </c>
    </row>
    <row r="2" spans="1:4" ht="18.75" x14ac:dyDescent="0.3">
      <c r="A2" s="12">
        <v>2</v>
      </c>
      <c r="B2" s="13" t="s">
        <v>8</v>
      </c>
      <c r="C2" s="5" t="str">
        <f>'Tab 1 Overview'!$B$1</f>
        <v>Doctors Community Hospital</v>
      </c>
    </row>
    <row r="3" spans="1:4" ht="21.75" customHeight="1" x14ac:dyDescent="0.3">
      <c r="A3" s="12">
        <v>3</v>
      </c>
      <c r="B3" s="13" t="s">
        <v>24</v>
      </c>
      <c r="C3" s="5" t="s">
        <v>48</v>
      </c>
    </row>
    <row r="4" spans="1:4" ht="103.5" customHeight="1" x14ac:dyDescent="0.25">
      <c r="A4" s="12">
        <v>4</v>
      </c>
      <c r="B4" s="13" t="s">
        <v>25</v>
      </c>
      <c r="C4" s="6" t="s">
        <v>130</v>
      </c>
      <c r="D4" s="24"/>
    </row>
    <row r="5" spans="1:4" ht="21.75" customHeight="1" x14ac:dyDescent="0.3">
      <c r="A5" s="12">
        <v>5</v>
      </c>
      <c r="B5" s="13" t="s">
        <v>15</v>
      </c>
      <c r="C5" s="5" t="s">
        <v>127</v>
      </c>
    </row>
    <row r="6" spans="1:4" ht="21.75" customHeight="1" x14ac:dyDescent="0.3">
      <c r="A6" s="12">
        <v>6</v>
      </c>
      <c r="B6" s="13" t="s">
        <v>2</v>
      </c>
      <c r="C6" s="43">
        <f>D30</f>
        <v>365967.15</v>
      </c>
    </row>
    <row r="7" spans="1:4" ht="21.75" customHeight="1" x14ac:dyDescent="0.3">
      <c r="A7" s="12">
        <v>7</v>
      </c>
      <c r="B7" s="13" t="s">
        <v>3</v>
      </c>
      <c r="C7" s="7">
        <v>0</v>
      </c>
    </row>
    <row r="8" spans="1:4" ht="45.75" customHeight="1" x14ac:dyDescent="0.3">
      <c r="A8" s="12">
        <v>8</v>
      </c>
      <c r="B8" s="13" t="s">
        <v>14</v>
      </c>
      <c r="C8" s="5" t="s">
        <v>63</v>
      </c>
    </row>
    <row r="9" spans="1:4" ht="21.75" customHeight="1" x14ac:dyDescent="0.3">
      <c r="A9" s="12">
        <v>9</v>
      </c>
      <c r="B9" s="13" t="s">
        <v>10</v>
      </c>
      <c r="C9" s="40" t="s">
        <v>104</v>
      </c>
    </row>
    <row r="10" spans="1:4" ht="21.75" customHeight="1" x14ac:dyDescent="0.3">
      <c r="A10" s="12">
        <v>10</v>
      </c>
      <c r="B10" s="13" t="s">
        <v>9</v>
      </c>
      <c r="C10" s="8" t="str">
        <f>C9</f>
        <v>January 2014</v>
      </c>
    </row>
    <row r="11" spans="1:4" ht="21.75" customHeight="1" x14ac:dyDescent="0.3">
      <c r="A11" s="12">
        <v>11</v>
      </c>
      <c r="B11" s="13" t="s">
        <v>13</v>
      </c>
      <c r="C11" s="5" t="s">
        <v>128</v>
      </c>
    </row>
    <row r="12" spans="1:4" ht="21.75" customHeight="1" x14ac:dyDescent="0.3">
      <c r="A12" s="12">
        <v>12</v>
      </c>
      <c r="B12" s="13" t="s">
        <v>27</v>
      </c>
      <c r="C12" s="45" t="s">
        <v>199</v>
      </c>
    </row>
    <row r="13" spans="1:4" ht="21.75" customHeight="1" x14ac:dyDescent="0.3">
      <c r="A13" s="12">
        <v>13</v>
      </c>
      <c r="B13" s="13" t="s">
        <v>49</v>
      </c>
      <c r="C13" s="5" t="s">
        <v>64</v>
      </c>
    </row>
    <row r="14" spans="1:4" ht="44.25" customHeight="1" x14ac:dyDescent="0.3">
      <c r="A14" s="12">
        <v>14</v>
      </c>
      <c r="B14" s="13" t="s">
        <v>1</v>
      </c>
      <c r="C14" s="5" t="s">
        <v>62</v>
      </c>
    </row>
    <row r="15" spans="1:4" ht="225" x14ac:dyDescent="0.25">
      <c r="A15" s="12">
        <v>15</v>
      </c>
      <c r="B15" s="13" t="s">
        <v>29</v>
      </c>
      <c r="C15" s="74" t="s">
        <v>165</v>
      </c>
    </row>
    <row r="16" spans="1:4" ht="94.5" customHeight="1" x14ac:dyDescent="0.3">
      <c r="A16" s="12">
        <v>16</v>
      </c>
      <c r="B16" s="13" t="s">
        <v>11</v>
      </c>
      <c r="C16" s="5" t="s">
        <v>225</v>
      </c>
    </row>
    <row r="17" spans="1:7" ht="41.25" customHeight="1" x14ac:dyDescent="0.3">
      <c r="A17" s="12">
        <v>17</v>
      </c>
      <c r="B17" s="13" t="s">
        <v>12</v>
      </c>
      <c r="C17" s="5" t="s">
        <v>227</v>
      </c>
    </row>
    <row r="18" spans="1:7" ht="15.75" x14ac:dyDescent="0.25">
      <c r="A18" s="23"/>
    </row>
    <row r="19" spans="1:7" ht="15.75" x14ac:dyDescent="0.25">
      <c r="A19" s="23"/>
    </row>
    <row r="20" spans="1:7" x14ac:dyDescent="0.25">
      <c r="B20" s="32" t="s">
        <v>70</v>
      </c>
    </row>
    <row r="21" spans="1:7" x14ac:dyDescent="0.25">
      <c r="B21" s="9"/>
      <c r="D21" s="30" t="s">
        <v>67</v>
      </c>
    </row>
    <row r="22" spans="1:7" x14ac:dyDescent="0.25">
      <c r="B22" s="24" t="s">
        <v>66</v>
      </c>
      <c r="C22" s="24" t="s">
        <v>69</v>
      </c>
      <c r="D22" s="59">
        <f>14937.25+11705+4298+3670+2600</f>
        <v>37210.25</v>
      </c>
    </row>
    <row r="23" spans="1:7" x14ac:dyDescent="0.25">
      <c r="B23" s="24" t="s">
        <v>72</v>
      </c>
      <c r="C23" s="24" t="s">
        <v>69</v>
      </c>
      <c r="D23" s="59">
        <f>12000+12000+7200+1950+7200+8000+5000+2000+2000+2000+2000+0+2000+2000</f>
        <v>65350</v>
      </c>
    </row>
    <row r="24" spans="1:7" x14ac:dyDescent="0.25">
      <c r="B24" s="31" t="s">
        <v>71</v>
      </c>
      <c r="C24" s="41" t="s">
        <v>146</v>
      </c>
      <c r="D24" s="59">
        <f>250*25</f>
        <v>6250</v>
      </c>
    </row>
    <row r="25" spans="1:7" x14ac:dyDescent="0.25">
      <c r="B25" s="31" t="s">
        <v>88</v>
      </c>
      <c r="C25" s="41" t="s">
        <v>89</v>
      </c>
      <c r="D25" s="59">
        <f>40*59</f>
        <v>2360</v>
      </c>
    </row>
    <row r="26" spans="1:7" x14ac:dyDescent="0.25">
      <c r="B26" s="31" t="s">
        <v>102</v>
      </c>
      <c r="C26" s="41"/>
      <c r="D26" s="59">
        <v>68628.900000000009</v>
      </c>
    </row>
    <row r="27" spans="1:7" x14ac:dyDescent="0.25">
      <c r="B27" s="31" t="s">
        <v>138</v>
      </c>
      <c r="C27" s="41" t="s">
        <v>139</v>
      </c>
      <c r="D27" s="59">
        <f>43084*2</f>
        <v>86168</v>
      </c>
      <c r="E27" s="24" t="s">
        <v>153</v>
      </c>
      <c r="F27" s="24" t="s">
        <v>154</v>
      </c>
      <c r="G27" s="24" t="s">
        <v>155</v>
      </c>
    </row>
    <row r="28" spans="1:7" x14ac:dyDescent="0.25">
      <c r="B28" s="31" t="s">
        <v>140</v>
      </c>
      <c r="C28" s="41" t="s">
        <v>141</v>
      </c>
      <c r="D28" s="59">
        <v>100000</v>
      </c>
      <c r="E28" s="9">
        <v>23000</v>
      </c>
      <c r="F28" s="9">
        <v>15000</v>
      </c>
      <c r="G28" s="9">
        <v>15000</v>
      </c>
    </row>
    <row r="29" spans="1:7" x14ac:dyDescent="0.25">
      <c r="B29" s="31"/>
      <c r="C29" s="41"/>
      <c r="D29" s="33"/>
    </row>
    <row r="30" spans="1:7" s="34" customFormat="1" ht="15.75" thickBot="1" x14ac:dyDescent="0.3">
      <c r="B30" s="32" t="s">
        <v>73</v>
      </c>
      <c r="C30" s="35"/>
      <c r="D30" s="36">
        <f>SUM(D22:D29)</f>
        <v>365967.15</v>
      </c>
    </row>
    <row r="31" spans="1:7" ht="15.75" thickTop="1" x14ac:dyDescent="0.25"/>
    <row r="32" spans="1:7" x14ac:dyDescent="0.25">
      <c r="A32" s="49">
        <v>17</v>
      </c>
      <c r="B32" s="57" t="s">
        <v>12</v>
      </c>
      <c r="C32" s="56"/>
    </row>
    <row r="33" spans="1:3" x14ac:dyDescent="0.25">
      <c r="A33" s="49"/>
      <c r="B33" s="60" t="s">
        <v>226</v>
      </c>
      <c r="C33" s="84">
        <v>1658</v>
      </c>
    </row>
    <row r="34" spans="1:3" x14ac:dyDescent="0.25">
      <c r="A34" s="49"/>
      <c r="B34" s="60" t="s">
        <v>207</v>
      </c>
      <c r="C34" s="78">
        <v>5.2699999999999997E-2</v>
      </c>
    </row>
    <row r="35" spans="1:3" x14ac:dyDescent="0.25">
      <c r="A35" s="49"/>
      <c r="B35" s="60" t="s">
        <v>202</v>
      </c>
      <c r="C35" s="79">
        <f>+C33*C34</f>
        <v>87.376599999999996</v>
      </c>
    </row>
    <row r="36" spans="1:3" x14ac:dyDescent="0.25">
      <c r="A36" s="49"/>
      <c r="B36" s="60" t="s">
        <v>206</v>
      </c>
      <c r="C36" s="80">
        <v>13616.91166574073</v>
      </c>
    </row>
    <row r="37" spans="1:3" ht="15.75" thickBot="1" x14ac:dyDescent="0.3">
      <c r="A37" s="49"/>
      <c r="B37" s="60" t="s">
        <v>203</v>
      </c>
      <c r="C37" s="81">
        <f>+C36*C35</f>
        <v>1189799.4438527615</v>
      </c>
    </row>
    <row r="38" spans="1:3" ht="15.75" thickTop="1" x14ac:dyDescent="0.25">
      <c r="B38" s="31" t="s">
        <v>204</v>
      </c>
      <c r="C38" s="82">
        <f>D30</f>
        <v>365967.15</v>
      </c>
    </row>
    <row r="39" spans="1:3" x14ac:dyDescent="0.25">
      <c r="B39" s="31" t="s">
        <v>205</v>
      </c>
      <c r="C39" s="83">
        <f>+C37/C38</f>
        <v>3.2511099530456802</v>
      </c>
    </row>
  </sheetData>
  <pageMargins left="0.45" right="0.45" top="0.75" bottom="0.75" header="0.3" footer="0.3"/>
  <pageSetup scale="65" orientation="landscape" cellComments="asDisplayed" r:id="rId1"/>
  <headerFooter>
    <oddHeader>&amp;R&amp;D  &amp;T</oddHeader>
    <oddFooter>&amp;L&amp;F</oddFooter>
  </headerFooter>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6" width="9.140625" style="9"/>
    <col min="7" max="7" width="9.140625" style="9" customWidth="1"/>
    <col min="8" max="9" width="9.140625" style="9"/>
    <col min="10" max="10" width="12.28515625" style="9" customWidth="1"/>
    <col min="11" max="16384" width="9.140625" style="9"/>
  </cols>
  <sheetData>
    <row r="1" spans="1:8" s="1" customFormat="1" ht="18.75" x14ac:dyDescent="0.3">
      <c r="A1" s="12">
        <v>1</v>
      </c>
      <c r="B1" s="13" t="s">
        <v>43</v>
      </c>
      <c r="C1" s="5">
        <v>2</v>
      </c>
    </row>
    <row r="2" spans="1:8" ht="18.75" x14ac:dyDescent="0.3">
      <c r="A2" s="12">
        <v>2</v>
      </c>
      <c r="B2" s="13" t="s">
        <v>8</v>
      </c>
      <c r="C2" s="5" t="str">
        <f>'Tab 1 Overview'!$B$1</f>
        <v>Doctors Community Hospital</v>
      </c>
    </row>
    <row r="3" spans="1:8" ht="21.75" customHeight="1" x14ac:dyDescent="0.3">
      <c r="A3" s="12">
        <v>3</v>
      </c>
      <c r="B3" s="13" t="s">
        <v>24</v>
      </c>
      <c r="C3" s="5" t="s">
        <v>48</v>
      </c>
    </row>
    <row r="4" spans="1:8" ht="103.5" customHeight="1" x14ac:dyDescent="0.25">
      <c r="A4" s="12">
        <v>4</v>
      </c>
      <c r="B4" s="13" t="s">
        <v>25</v>
      </c>
      <c r="C4" s="6" t="s">
        <v>166</v>
      </c>
      <c r="D4" s="24"/>
    </row>
    <row r="5" spans="1:8" ht="21.75" customHeight="1" x14ac:dyDescent="0.3">
      <c r="A5" s="12">
        <v>5</v>
      </c>
      <c r="B5" s="13" t="s">
        <v>15</v>
      </c>
      <c r="C5" s="44" t="s">
        <v>113</v>
      </c>
    </row>
    <row r="6" spans="1:8" ht="21.75" customHeight="1" x14ac:dyDescent="0.3">
      <c r="A6" s="12">
        <v>6</v>
      </c>
      <c r="B6" s="13" t="s">
        <v>2</v>
      </c>
      <c r="C6" s="43">
        <f>D29</f>
        <v>160528.76384615386</v>
      </c>
      <c r="D6" s="29"/>
      <c r="H6" s="37"/>
    </row>
    <row r="7" spans="1:8" ht="21.75" customHeight="1" x14ac:dyDescent="0.3">
      <c r="A7" s="12">
        <v>7</v>
      </c>
      <c r="B7" s="13" t="s">
        <v>3</v>
      </c>
      <c r="C7" s="7">
        <v>0</v>
      </c>
      <c r="H7" s="38"/>
    </row>
    <row r="8" spans="1:8" ht="45.75" customHeight="1" x14ac:dyDescent="0.3">
      <c r="A8" s="12">
        <v>8</v>
      </c>
      <c r="B8" s="13" t="s">
        <v>14</v>
      </c>
      <c r="C8" s="5" t="s">
        <v>63</v>
      </c>
      <c r="H8" s="38"/>
    </row>
    <row r="9" spans="1:8" ht="21.75" customHeight="1" x14ac:dyDescent="0.3">
      <c r="A9" s="12">
        <v>9</v>
      </c>
      <c r="B9" s="13" t="s">
        <v>10</v>
      </c>
      <c r="C9" s="40" t="s">
        <v>100</v>
      </c>
    </row>
    <row r="10" spans="1:8" ht="21.75" customHeight="1" x14ac:dyDescent="0.3">
      <c r="A10" s="12">
        <v>10</v>
      </c>
      <c r="B10" s="13" t="s">
        <v>9</v>
      </c>
      <c r="C10" s="40">
        <v>42125</v>
      </c>
    </row>
    <row r="11" spans="1:8" ht="37.5" x14ac:dyDescent="0.3">
      <c r="A11" s="12">
        <v>11</v>
      </c>
      <c r="B11" s="13" t="s">
        <v>13</v>
      </c>
      <c r="C11" s="5" t="s">
        <v>129</v>
      </c>
    </row>
    <row r="12" spans="1:8" ht="21.75" customHeight="1" x14ac:dyDescent="0.3">
      <c r="A12" s="12">
        <v>12</v>
      </c>
      <c r="B12" s="13" t="s">
        <v>27</v>
      </c>
      <c r="C12" s="66" t="s">
        <v>199</v>
      </c>
    </row>
    <row r="13" spans="1:8" ht="21.75" customHeight="1" x14ac:dyDescent="0.3">
      <c r="A13" s="12">
        <v>13</v>
      </c>
      <c r="B13" s="13" t="s">
        <v>49</v>
      </c>
      <c r="C13" s="5" t="s">
        <v>64</v>
      </c>
    </row>
    <row r="14" spans="1:8" ht="44.25" customHeight="1" x14ac:dyDescent="0.3">
      <c r="A14" s="12">
        <v>14</v>
      </c>
      <c r="B14" s="13" t="s">
        <v>1</v>
      </c>
      <c r="C14" s="5" t="s">
        <v>62</v>
      </c>
    </row>
    <row r="15" spans="1:8" ht="75" x14ac:dyDescent="0.25">
      <c r="A15" s="12">
        <v>15</v>
      </c>
      <c r="B15" s="13" t="s">
        <v>29</v>
      </c>
      <c r="C15" s="39" t="s">
        <v>105</v>
      </c>
    </row>
    <row r="16" spans="1:8" ht="94.5" customHeight="1" x14ac:dyDescent="0.3">
      <c r="A16" s="12">
        <v>16</v>
      </c>
      <c r="B16" s="13" t="s">
        <v>11</v>
      </c>
      <c r="C16" s="5" t="s">
        <v>167</v>
      </c>
    </row>
    <row r="17" spans="1:7" ht="41.25" customHeight="1" x14ac:dyDescent="0.3">
      <c r="A17" s="12">
        <v>17</v>
      </c>
      <c r="B17" s="13" t="s">
        <v>12</v>
      </c>
      <c r="C17" s="5" t="s">
        <v>229</v>
      </c>
    </row>
    <row r="18" spans="1:7" ht="15.75" x14ac:dyDescent="0.25">
      <c r="A18" s="23"/>
    </row>
    <row r="19" spans="1:7" ht="15.75" x14ac:dyDescent="0.25">
      <c r="A19" s="23"/>
    </row>
    <row r="20" spans="1:7" x14ac:dyDescent="0.25">
      <c r="B20" s="32" t="s">
        <v>70</v>
      </c>
    </row>
    <row r="21" spans="1:7" x14ac:dyDescent="0.25">
      <c r="B21" s="9"/>
      <c r="D21" s="30" t="s">
        <v>67</v>
      </c>
    </row>
    <row r="22" spans="1:7" x14ac:dyDescent="0.25">
      <c r="B22" s="24" t="s">
        <v>74</v>
      </c>
      <c r="C22" s="24" t="s">
        <v>79</v>
      </c>
      <c r="D22" s="59">
        <v>0</v>
      </c>
      <c r="E22" s="24" t="s">
        <v>160</v>
      </c>
    </row>
    <row r="23" spans="1:7" x14ac:dyDescent="0.25">
      <c r="B23" s="24" t="s">
        <v>78</v>
      </c>
      <c r="C23" s="24" t="s">
        <v>69</v>
      </c>
      <c r="D23" s="33">
        <f>8000+8000+14000+5000+10000</f>
        <v>45000</v>
      </c>
      <c r="E23" s="24" t="s">
        <v>161</v>
      </c>
    </row>
    <row r="24" spans="1:7" x14ac:dyDescent="0.25">
      <c r="B24" s="24" t="s">
        <v>68</v>
      </c>
      <c r="C24" s="24" t="s">
        <v>69</v>
      </c>
      <c r="D24" s="33">
        <f>10800+1800+5850+5850</f>
        <v>24300</v>
      </c>
    </row>
    <row r="25" spans="1:7" x14ac:dyDescent="0.25">
      <c r="B25" s="24" t="s">
        <v>156</v>
      </c>
      <c r="C25" s="24" t="s">
        <v>69</v>
      </c>
      <c r="D25" s="33">
        <f>8615+11677.61+3240</f>
        <v>23532.61</v>
      </c>
    </row>
    <row r="26" spans="1:7" x14ac:dyDescent="0.25">
      <c r="B26" s="31" t="s">
        <v>158</v>
      </c>
      <c r="C26" s="41" t="s">
        <v>157</v>
      </c>
      <c r="D26" s="59">
        <f>(175000/2080)*G26</f>
        <v>10096.153846153846</v>
      </c>
      <c r="F26" s="24" t="s">
        <v>159</v>
      </c>
      <c r="G26" s="9">
        <f>12*1*10</f>
        <v>120</v>
      </c>
    </row>
    <row r="27" spans="1:7" x14ac:dyDescent="0.25">
      <c r="B27" s="31" t="s">
        <v>143</v>
      </c>
      <c r="C27" s="41" t="s">
        <v>142</v>
      </c>
      <c r="D27" s="33">
        <f>24*4*4*150</f>
        <v>57600</v>
      </c>
      <c r="E27" s="24" t="s">
        <v>144</v>
      </c>
    </row>
    <row r="28" spans="1:7" x14ac:dyDescent="0.25">
      <c r="B28" s="31"/>
      <c r="C28" s="41"/>
      <c r="D28" s="33"/>
      <c r="F28" s="24"/>
    </row>
    <row r="29" spans="1:7" s="34" customFormat="1" ht="15.75" thickBot="1" x14ac:dyDescent="0.3">
      <c r="B29" s="32" t="s">
        <v>73</v>
      </c>
      <c r="C29" s="35"/>
      <c r="D29" s="36">
        <f>SUM(D22:D28)</f>
        <v>160528.76384615386</v>
      </c>
    </row>
    <row r="30" spans="1:7" ht="15.75" thickTop="1" x14ac:dyDescent="0.25"/>
  </sheetData>
  <pageMargins left="0.45" right="0.45" top="0.75" bottom="0.75" header="0.3" footer="0.3"/>
  <pageSetup scale="69"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14:formula1>
            <xm:f>Instructions!$C$4:$C$7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3</v>
      </c>
    </row>
    <row r="2" spans="1:4" ht="18.75" x14ac:dyDescent="0.3">
      <c r="A2" s="12">
        <v>2</v>
      </c>
      <c r="B2" s="13" t="s">
        <v>8</v>
      </c>
      <c r="C2" s="5" t="str">
        <f>'Tab 1 Overview'!$B$1</f>
        <v>Doctors Community Hospital</v>
      </c>
    </row>
    <row r="3" spans="1:4" ht="21.75" customHeight="1" x14ac:dyDescent="0.3">
      <c r="A3" s="12">
        <v>3</v>
      </c>
      <c r="B3" s="13" t="s">
        <v>24</v>
      </c>
      <c r="C3" s="5" t="s">
        <v>22</v>
      </c>
    </row>
    <row r="4" spans="1:4" ht="225" x14ac:dyDescent="0.25">
      <c r="A4" s="12">
        <v>4</v>
      </c>
      <c r="B4" s="13" t="s">
        <v>25</v>
      </c>
      <c r="C4" s="6" t="s">
        <v>185</v>
      </c>
      <c r="D4" s="24"/>
    </row>
    <row r="5" spans="1:4" ht="21.75" customHeight="1" x14ac:dyDescent="0.3">
      <c r="A5" s="12">
        <v>5</v>
      </c>
      <c r="B5" s="13" t="s">
        <v>15</v>
      </c>
      <c r="C5" s="44" t="s">
        <v>106</v>
      </c>
    </row>
    <row r="6" spans="1:4" ht="21.75" customHeight="1" x14ac:dyDescent="0.3">
      <c r="A6" s="12">
        <v>6</v>
      </c>
      <c r="B6" s="13" t="s">
        <v>2</v>
      </c>
      <c r="C6" s="43">
        <f>D26</f>
        <v>4807.6923076923076</v>
      </c>
      <c r="D6" s="29"/>
    </row>
    <row r="7" spans="1:4" ht="21.75" customHeight="1" x14ac:dyDescent="0.3">
      <c r="A7" s="12">
        <v>7</v>
      </c>
      <c r="B7" s="13" t="s">
        <v>3</v>
      </c>
      <c r="C7" s="7" t="s">
        <v>186</v>
      </c>
    </row>
    <row r="8" spans="1:4" ht="45.75" customHeight="1" x14ac:dyDescent="0.3">
      <c r="A8" s="12">
        <v>8</v>
      </c>
      <c r="B8" s="13" t="s">
        <v>14</v>
      </c>
      <c r="C8" s="5" t="s">
        <v>65</v>
      </c>
    </row>
    <row r="9" spans="1:4" ht="21.75" customHeight="1" x14ac:dyDescent="0.3">
      <c r="A9" s="12">
        <v>9</v>
      </c>
      <c r="B9" s="13" t="s">
        <v>10</v>
      </c>
      <c r="C9" s="40" t="s">
        <v>75</v>
      </c>
    </row>
    <row r="10" spans="1:4" ht="21.75" customHeight="1" x14ac:dyDescent="0.3">
      <c r="A10" s="12">
        <v>10</v>
      </c>
      <c r="B10" s="13" t="s">
        <v>9</v>
      </c>
      <c r="C10" s="53" t="s">
        <v>174</v>
      </c>
      <c r="D10" s="50"/>
    </row>
    <row r="11" spans="1:4" ht="37.5" x14ac:dyDescent="0.3">
      <c r="A11" s="12">
        <v>11</v>
      </c>
      <c r="B11" s="13" t="s">
        <v>13</v>
      </c>
      <c r="C11" s="5" t="s">
        <v>110</v>
      </c>
    </row>
    <row r="12" spans="1:4" ht="21.75" customHeight="1" x14ac:dyDescent="0.3">
      <c r="A12" s="12">
        <v>12</v>
      </c>
      <c r="B12" s="13" t="s">
        <v>27</v>
      </c>
      <c r="C12" s="77" t="s">
        <v>187</v>
      </c>
    </row>
    <row r="13" spans="1:4" ht="21.75" customHeight="1" x14ac:dyDescent="0.3">
      <c r="A13" s="12">
        <v>13</v>
      </c>
      <c r="B13" s="13" t="s">
        <v>49</v>
      </c>
      <c r="C13" s="5" t="s">
        <v>175</v>
      </c>
    </row>
    <row r="14" spans="1:4" ht="44.25" customHeight="1" x14ac:dyDescent="0.3">
      <c r="A14" s="12">
        <v>14</v>
      </c>
      <c r="B14" s="13" t="s">
        <v>1</v>
      </c>
      <c r="C14" s="5" t="s">
        <v>62</v>
      </c>
    </row>
    <row r="15" spans="1:4" ht="75" x14ac:dyDescent="0.25">
      <c r="A15" s="12">
        <v>15</v>
      </c>
      <c r="B15" s="13" t="s">
        <v>29</v>
      </c>
      <c r="C15" s="39" t="s">
        <v>168</v>
      </c>
    </row>
    <row r="16" spans="1:4" ht="94.5" customHeight="1" x14ac:dyDescent="0.3">
      <c r="A16" s="12">
        <v>16</v>
      </c>
      <c r="B16" s="13" t="s">
        <v>11</v>
      </c>
      <c r="C16" s="44" t="s">
        <v>176</v>
      </c>
      <c r="D16" s="50"/>
    </row>
    <row r="17" spans="1:4" ht="41.25" customHeight="1" x14ac:dyDescent="0.3">
      <c r="A17" s="12">
        <v>17</v>
      </c>
      <c r="B17" s="13" t="s">
        <v>12</v>
      </c>
      <c r="C17" s="5" t="s">
        <v>229</v>
      </c>
    </row>
    <row r="18" spans="1:4" ht="15.75" x14ac:dyDescent="0.25">
      <c r="A18" s="23"/>
    </row>
    <row r="19" spans="1:4" ht="15.75" x14ac:dyDescent="0.25">
      <c r="A19" s="23"/>
    </row>
    <row r="20" spans="1:4" x14ac:dyDescent="0.25">
      <c r="B20" s="32" t="s">
        <v>70</v>
      </c>
    </row>
    <row r="21" spans="1:4" x14ac:dyDescent="0.25">
      <c r="B21" s="9"/>
      <c r="D21" s="30" t="s">
        <v>67</v>
      </c>
    </row>
    <row r="22" spans="1:4" x14ac:dyDescent="0.25">
      <c r="B22" s="24" t="s">
        <v>76</v>
      </c>
      <c r="C22" s="24" t="s">
        <v>77</v>
      </c>
      <c r="D22" s="33">
        <v>0</v>
      </c>
    </row>
    <row r="23" spans="1:4" x14ac:dyDescent="0.25">
      <c r="B23" s="24" t="s">
        <v>114</v>
      </c>
      <c r="C23" s="24" t="s">
        <v>115</v>
      </c>
      <c r="D23" s="33">
        <f>100*(100000/2080)</f>
        <v>4807.6923076923076</v>
      </c>
    </row>
    <row r="24" spans="1:4" x14ac:dyDescent="0.25">
      <c r="B24" s="31" t="s">
        <v>116</v>
      </c>
      <c r="C24" s="41" t="s">
        <v>117</v>
      </c>
      <c r="D24" s="64"/>
    </row>
    <row r="25" spans="1:4" x14ac:dyDescent="0.25">
      <c r="B25" s="31"/>
      <c r="D25" s="33"/>
    </row>
    <row r="26" spans="1:4" s="34" customFormat="1" ht="15.75" thickBot="1" x14ac:dyDescent="0.3">
      <c r="B26" s="32" t="s">
        <v>73</v>
      </c>
      <c r="C26" s="35"/>
      <c r="D26" s="36">
        <f>SUM(D22:D25)</f>
        <v>4807.6923076923076</v>
      </c>
    </row>
    <row r="27" spans="1:4" ht="15.75" thickTop="1" x14ac:dyDescent="0.25"/>
  </sheetData>
  <pageMargins left="0.45" right="0.45" top="0.75" bottom="0.75" header="0.3" footer="0.3"/>
  <pageSetup scale="67"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zoomScale="60" zoomScaleNormal="80" workbookViewId="0"/>
  </sheetViews>
  <sheetFormatPr defaultRowHeight="15" x14ac:dyDescent="0.25"/>
  <cols>
    <col min="1" max="1" width="9.140625" style="49"/>
    <col min="2" max="2" width="84.7109375" style="55" customWidth="1"/>
    <col min="3" max="3" width="91.140625" style="56" customWidth="1"/>
    <col min="4" max="4" width="16.42578125" style="49" bestFit="1" customWidth="1"/>
    <col min="5" max="16384" width="9.140625" style="49"/>
  </cols>
  <sheetData>
    <row r="1" spans="1:4" s="48" customFormat="1" ht="18.75" x14ac:dyDescent="0.3">
      <c r="A1" s="46">
        <v>1</v>
      </c>
      <c r="B1" s="47" t="s">
        <v>43</v>
      </c>
      <c r="C1" s="44">
        <v>4</v>
      </c>
    </row>
    <row r="2" spans="1:4" ht="18.75" x14ac:dyDescent="0.3">
      <c r="A2" s="46">
        <v>2</v>
      </c>
      <c r="B2" s="47" t="s">
        <v>8</v>
      </c>
      <c r="C2" s="44" t="str">
        <f>'Tab 1 Overview'!$B$1</f>
        <v>Doctors Community Hospital</v>
      </c>
    </row>
    <row r="3" spans="1:4" ht="21.75" customHeight="1" x14ac:dyDescent="0.3">
      <c r="A3" s="46">
        <v>3</v>
      </c>
      <c r="B3" s="47" t="s">
        <v>24</v>
      </c>
      <c r="C3" s="44" t="s">
        <v>22</v>
      </c>
    </row>
    <row r="4" spans="1:4" ht="206.25" x14ac:dyDescent="0.25">
      <c r="A4" s="46">
        <v>4</v>
      </c>
      <c r="B4" s="47" t="s">
        <v>25</v>
      </c>
      <c r="C4" s="42" t="s">
        <v>208</v>
      </c>
      <c r="D4" s="50"/>
    </row>
    <row r="5" spans="1:4" ht="21.75" customHeight="1" x14ac:dyDescent="0.3">
      <c r="A5" s="46">
        <v>5</v>
      </c>
      <c r="B5" s="47" t="s">
        <v>15</v>
      </c>
      <c r="C5" s="44" t="s">
        <v>80</v>
      </c>
    </row>
    <row r="6" spans="1:4" ht="21.75" customHeight="1" x14ac:dyDescent="0.3">
      <c r="A6" s="46">
        <v>6</v>
      </c>
      <c r="B6" s="47" t="s">
        <v>2</v>
      </c>
      <c r="C6" s="43">
        <f>D26</f>
        <v>79771.600000000006</v>
      </c>
      <c r="D6" s="51"/>
    </row>
    <row r="7" spans="1:4" ht="21.75" customHeight="1" x14ac:dyDescent="0.3">
      <c r="A7" s="46">
        <v>7</v>
      </c>
      <c r="B7" s="47" t="s">
        <v>3</v>
      </c>
      <c r="C7" s="52" t="s">
        <v>99</v>
      </c>
    </row>
    <row r="8" spans="1:4" ht="45.75" customHeight="1" x14ac:dyDescent="0.3">
      <c r="A8" s="46">
        <v>8</v>
      </c>
      <c r="B8" s="47" t="s">
        <v>14</v>
      </c>
      <c r="C8" s="44" t="s">
        <v>63</v>
      </c>
    </row>
    <row r="9" spans="1:4" ht="21.75" customHeight="1" x14ac:dyDescent="0.3">
      <c r="A9" s="46">
        <v>9</v>
      </c>
      <c r="B9" s="47" t="s">
        <v>10</v>
      </c>
      <c r="C9" s="53" t="s">
        <v>83</v>
      </c>
    </row>
    <row r="10" spans="1:4" ht="21.75" customHeight="1" x14ac:dyDescent="0.3">
      <c r="A10" s="46">
        <v>10</v>
      </c>
      <c r="B10" s="47" t="s">
        <v>9</v>
      </c>
      <c r="C10" s="53" t="s">
        <v>84</v>
      </c>
    </row>
    <row r="11" spans="1:4" ht="21.75" customHeight="1" x14ac:dyDescent="0.3">
      <c r="A11" s="46">
        <v>11</v>
      </c>
      <c r="B11" s="47" t="s">
        <v>13</v>
      </c>
      <c r="C11" s="44" t="s">
        <v>107</v>
      </c>
    </row>
    <row r="12" spans="1:4" ht="21.75" customHeight="1" x14ac:dyDescent="0.3">
      <c r="A12" s="46">
        <v>12</v>
      </c>
      <c r="B12" s="47" t="s">
        <v>27</v>
      </c>
      <c r="C12" s="45">
        <f>(G22-F22)/2080</f>
        <v>0.39663461538461536</v>
      </c>
    </row>
    <row r="13" spans="1:4" ht="21.75" customHeight="1" x14ac:dyDescent="0.3">
      <c r="A13" s="46">
        <v>13</v>
      </c>
      <c r="B13" s="47" t="s">
        <v>49</v>
      </c>
      <c r="C13" s="44" t="s">
        <v>99</v>
      </c>
    </row>
    <row r="14" spans="1:4" ht="44.25" customHeight="1" x14ac:dyDescent="0.3">
      <c r="A14" s="46">
        <v>14</v>
      </c>
      <c r="B14" s="47" t="s">
        <v>1</v>
      </c>
      <c r="C14" s="44" t="s">
        <v>62</v>
      </c>
    </row>
    <row r="15" spans="1:4" ht="56.25" x14ac:dyDescent="0.25">
      <c r="A15" s="46">
        <v>15</v>
      </c>
      <c r="B15" s="47" t="s">
        <v>29</v>
      </c>
      <c r="C15" s="42" t="s">
        <v>169</v>
      </c>
    </row>
    <row r="16" spans="1:4" ht="94.5" customHeight="1" x14ac:dyDescent="0.3">
      <c r="A16" s="46">
        <v>16</v>
      </c>
      <c r="B16" s="47" t="s">
        <v>11</v>
      </c>
      <c r="C16" s="44" t="s">
        <v>177</v>
      </c>
      <c r="D16" s="50"/>
    </row>
    <row r="17" spans="1:8" ht="41.25" customHeight="1" x14ac:dyDescent="0.3">
      <c r="A17" s="46">
        <v>17</v>
      </c>
      <c r="B17" s="47" t="s">
        <v>12</v>
      </c>
      <c r="C17" s="44" t="s">
        <v>216</v>
      </c>
    </row>
    <row r="18" spans="1:8" ht="15.75" x14ac:dyDescent="0.25">
      <c r="A18" s="54"/>
    </row>
    <row r="19" spans="1:8" ht="15.75" x14ac:dyDescent="0.25">
      <c r="A19" s="54"/>
    </row>
    <row r="20" spans="1:8" ht="18.75" x14ac:dyDescent="0.25">
      <c r="A20" s="85">
        <v>6</v>
      </c>
      <c r="B20" s="57" t="s">
        <v>70</v>
      </c>
      <c r="F20" s="50" t="s">
        <v>114</v>
      </c>
    </row>
    <row r="21" spans="1:8" x14ac:dyDescent="0.25">
      <c r="B21" s="49"/>
      <c r="D21" s="58" t="s">
        <v>67</v>
      </c>
      <c r="F21" s="50" t="s">
        <v>217</v>
      </c>
      <c r="G21" s="50" t="s">
        <v>218</v>
      </c>
    </row>
    <row r="22" spans="1:8" x14ac:dyDescent="0.25">
      <c r="B22" s="50" t="s">
        <v>81</v>
      </c>
      <c r="C22" s="50" t="s">
        <v>82</v>
      </c>
      <c r="D22" s="59">
        <v>32230</v>
      </c>
      <c r="F22" s="49">
        <f>3707+296+4+12</f>
        <v>4019</v>
      </c>
      <c r="G22" s="49">
        <f>4383+404+57</f>
        <v>4844</v>
      </c>
      <c r="H22" s="50" t="s">
        <v>90</v>
      </c>
    </row>
    <row r="23" spans="1:8" x14ac:dyDescent="0.25">
      <c r="B23" s="50" t="s">
        <v>103</v>
      </c>
      <c r="C23" s="50"/>
      <c r="D23" s="59">
        <f>24000+12000</f>
        <v>36000</v>
      </c>
    </row>
    <row r="24" spans="1:8" x14ac:dyDescent="0.25">
      <c r="B24" s="60" t="s">
        <v>147</v>
      </c>
      <c r="D24" s="59">
        <v>11541.599999999999</v>
      </c>
    </row>
    <row r="25" spans="1:8" x14ac:dyDescent="0.25">
      <c r="B25" s="60"/>
      <c r="D25" s="59"/>
    </row>
    <row r="26" spans="1:8" s="61" customFormat="1" ht="15.75" thickBot="1" x14ac:dyDescent="0.3">
      <c r="B26" s="57" t="s">
        <v>73</v>
      </c>
      <c r="C26" s="62"/>
      <c r="D26" s="63">
        <f>SUM(D22:D25)</f>
        <v>79771.600000000006</v>
      </c>
    </row>
    <row r="27" spans="1:8" ht="15.75" thickTop="1" x14ac:dyDescent="0.25"/>
    <row r="33" spans="1:3" x14ac:dyDescent="0.25">
      <c r="A33" s="49">
        <v>17</v>
      </c>
      <c r="B33" s="57" t="s">
        <v>12</v>
      </c>
    </row>
    <row r="34" spans="1:3" x14ac:dyDescent="0.25">
      <c r="B34" s="60" t="s">
        <v>214</v>
      </c>
      <c r="C34" s="59">
        <v>956281</v>
      </c>
    </row>
    <row r="35" spans="1:3" x14ac:dyDescent="0.25">
      <c r="B35" s="60" t="s">
        <v>215</v>
      </c>
      <c r="C35" s="84">
        <v>249545</v>
      </c>
    </row>
    <row r="36" spans="1:3" ht="15.75" thickBot="1" x14ac:dyDescent="0.3">
      <c r="B36" s="89" t="s">
        <v>212</v>
      </c>
      <c r="C36" s="63">
        <f>+C34-C35</f>
        <v>706736</v>
      </c>
    </row>
    <row r="37" spans="1:3" ht="15.75" thickTop="1" x14ac:dyDescent="0.25">
      <c r="B37" s="60" t="s">
        <v>210</v>
      </c>
      <c r="C37" s="86">
        <f>+C36/C34</f>
        <v>0.73904636817002534</v>
      </c>
    </row>
    <row r="38" spans="1:3" x14ac:dyDescent="0.25">
      <c r="B38" s="60" t="s">
        <v>211</v>
      </c>
      <c r="C38" s="87">
        <f>+C36</f>
        <v>706736</v>
      </c>
    </row>
    <row r="39" spans="1:3" x14ac:dyDescent="0.25">
      <c r="B39" s="60" t="s">
        <v>213</v>
      </c>
      <c r="C39" s="87">
        <f>+D26</f>
        <v>79771.600000000006</v>
      </c>
    </row>
    <row r="40" spans="1:3" x14ac:dyDescent="0.25">
      <c r="B40" s="60" t="s">
        <v>205</v>
      </c>
      <c r="C40" s="88">
        <f>+C38/C39</f>
        <v>8.8594938549558986</v>
      </c>
    </row>
  </sheetData>
  <pageMargins left="0.45" right="0.45" top="0.75" bottom="0.75" header="0.3" footer="0.3"/>
  <pageSetup scale="69"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0"/>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5</v>
      </c>
    </row>
    <row r="2" spans="1:4" ht="18.75" x14ac:dyDescent="0.3">
      <c r="A2" s="12">
        <v>2</v>
      </c>
      <c r="B2" s="13" t="s">
        <v>8</v>
      </c>
      <c r="C2" s="5" t="str">
        <f>'Tab 1 Overview'!$B$1</f>
        <v>Doctors Community Hospital</v>
      </c>
    </row>
    <row r="3" spans="1:4" ht="21.75" customHeight="1" x14ac:dyDescent="0.3">
      <c r="A3" s="12">
        <v>3</v>
      </c>
      <c r="B3" s="13" t="s">
        <v>24</v>
      </c>
      <c r="C3" s="5" t="s">
        <v>22</v>
      </c>
    </row>
    <row r="4" spans="1:4" ht="300" x14ac:dyDescent="0.25">
      <c r="A4" s="12">
        <v>4</v>
      </c>
      <c r="B4" s="13" t="s">
        <v>25</v>
      </c>
      <c r="C4" s="42" t="s">
        <v>183</v>
      </c>
      <c r="D4" s="24"/>
    </row>
    <row r="5" spans="1:4" ht="21.75" customHeight="1" x14ac:dyDescent="0.3">
      <c r="A5" s="12">
        <v>5</v>
      </c>
      <c r="B5" s="13" t="s">
        <v>15</v>
      </c>
      <c r="C5" s="44" t="s">
        <v>184</v>
      </c>
    </row>
    <row r="6" spans="1:4" ht="21.75" customHeight="1" x14ac:dyDescent="0.3">
      <c r="A6" s="12">
        <v>6</v>
      </c>
      <c r="B6" s="13" t="s">
        <v>2</v>
      </c>
      <c r="C6" s="43">
        <f>D26</f>
        <v>185036</v>
      </c>
      <c r="D6" s="29"/>
    </row>
    <row r="7" spans="1:4" ht="21.75" customHeight="1" x14ac:dyDescent="0.3">
      <c r="A7" s="12">
        <v>7</v>
      </c>
      <c r="B7" s="13" t="s">
        <v>3</v>
      </c>
      <c r="C7" s="52" t="s">
        <v>162</v>
      </c>
      <c r="D7" s="50"/>
    </row>
    <row r="8" spans="1:4" ht="45.75" customHeight="1" x14ac:dyDescent="0.3">
      <c r="A8" s="12">
        <v>8</v>
      </c>
      <c r="B8" s="13" t="s">
        <v>14</v>
      </c>
      <c r="C8" s="5" t="s">
        <v>65</v>
      </c>
    </row>
    <row r="9" spans="1:4" ht="21.75" customHeight="1" x14ac:dyDescent="0.3">
      <c r="A9" s="12">
        <v>9</v>
      </c>
      <c r="B9" s="13" t="s">
        <v>10</v>
      </c>
      <c r="C9" s="53" t="s">
        <v>178</v>
      </c>
    </row>
    <row r="10" spans="1:4" ht="21.75" customHeight="1" x14ac:dyDescent="0.3">
      <c r="A10" s="12">
        <v>10</v>
      </c>
      <c r="B10" s="13" t="s">
        <v>9</v>
      </c>
      <c r="C10" s="76" t="s">
        <v>84</v>
      </c>
    </row>
    <row r="11" spans="1:4" ht="21.75" customHeight="1" x14ac:dyDescent="0.3">
      <c r="A11" s="12">
        <v>11</v>
      </c>
      <c r="B11" s="13" t="s">
        <v>13</v>
      </c>
      <c r="C11" s="44" t="s">
        <v>179</v>
      </c>
    </row>
    <row r="12" spans="1:4" ht="21.75" customHeight="1" x14ac:dyDescent="0.3">
      <c r="A12" s="12">
        <v>12</v>
      </c>
      <c r="B12" s="13" t="s">
        <v>27</v>
      </c>
      <c r="C12" s="65">
        <f>D29</f>
        <v>0.3</v>
      </c>
    </row>
    <row r="13" spans="1:4" ht="21.75" customHeight="1" x14ac:dyDescent="0.3">
      <c r="A13" s="12">
        <v>13</v>
      </c>
      <c r="B13" s="13" t="s">
        <v>49</v>
      </c>
      <c r="C13" s="5" t="s">
        <v>108</v>
      </c>
    </row>
    <row r="14" spans="1:4" ht="44.25" customHeight="1" x14ac:dyDescent="0.3">
      <c r="A14" s="12">
        <v>14</v>
      </c>
      <c r="B14" s="13" t="s">
        <v>1</v>
      </c>
      <c r="C14" s="5" t="s">
        <v>62</v>
      </c>
    </row>
    <row r="15" spans="1:4" ht="56.25" x14ac:dyDescent="0.25">
      <c r="A15" s="12">
        <v>15</v>
      </c>
      <c r="B15" s="13" t="s">
        <v>29</v>
      </c>
      <c r="C15" s="42" t="s">
        <v>224</v>
      </c>
      <c r="D15" s="75"/>
    </row>
    <row r="16" spans="1:4" ht="168.75" x14ac:dyDescent="0.25">
      <c r="A16" s="12">
        <v>16</v>
      </c>
      <c r="B16" s="13" t="s">
        <v>11</v>
      </c>
      <c r="C16" s="42" t="s">
        <v>209</v>
      </c>
    </row>
    <row r="17" spans="1:4" ht="41.25" customHeight="1" x14ac:dyDescent="0.3">
      <c r="A17" s="12">
        <v>17</v>
      </c>
      <c r="B17" s="13" t="s">
        <v>12</v>
      </c>
      <c r="C17" s="44" t="s">
        <v>230</v>
      </c>
      <c r="D17" s="49"/>
    </row>
    <row r="18" spans="1:4" ht="15.75" x14ac:dyDescent="0.25">
      <c r="A18" s="23"/>
    </row>
    <row r="19" spans="1:4" ht="15.75" x14ac:dyDescent="0.25">
      <c r="A19" s="23"/>
    </row>
    <row r="20" spans="1:4" x14ac:dyDescent="0.25">
      <c r="B20" s="32" t="s">
        <v>70</v>
      </c>
    </row>
    <row r="21" spans="1:4" x14ac:dyDescent="0.25">
      <c r="B21" s="9"/>
      <c r="D21" s="30" t="s">
        <v>67</v>
      </c>
    </row>
    <row r="22" spans="1:4" x14ac:dyDescent="0.25">
      <c r="B22" s="24" t="s">
        <v>91</v>
      </c>
      <c r="C22" s="24" t="s">
        <v>82</v>
      </c>
      <c r="D22" s="33">
        <v>185036</v>
      </c>
    </row>
    <row r="23" spans="1:4" x14ac:dyDescent="0.25">
      <c r="B23" s="24"/>
      <c r="C23" s="24"/>
      <c r="D23" s="33"/>
    </row>
    <row r="24" spans="1:4" x14ac:dyDescent="0.25">
      <c r="B24" s="31"/>
      <c r="D24" s="33"/>
    </row>
    <row r="25" spans="1:4" x14ac:dyDescent="0.25">
      <c r="B25" s="31"/>
      <c r="D25" s="33"/>
    </row>
    <row r="26" spans="1:4" s="34" customFormat="1" ht="15.75" thickBot="1" x14ac:dyDescent="0.3">
      <c r="B26" s="32" t="s">
        <v>73</v>
      </c>
      <c r="C26" s="35"/>
      <c r="D26" s="36">
        <f>SUM(D22:D25)</f>
        <v>185036</v>
      </c>
    </row>
    <row r="27" spans="1:4" ht="15.75" thickTop="1" x14ac:dyDescent="0.25"/>
    <row r="28" spans="1:4" x14ac:dyDescent="0.25">
      <c r="B28" s="31" t="s">
        <v>180</v>
      </c>
    </row>
    <row r="29" spans="1:4" ht="18.75" x14ac:dyDescent="0.3">
      <c r="B29" s="44" t="s">
        <v>181</v>
      </c>
      <c r="C29" s="41" t="s">
        <v>182</v>
      </c>
      <c r="D29" s="9">
        <f>(12*52)/2080</f>
        <v>0.3</v>
      </c>
    </row>
    <row r="33" spans="1:3" x14ac:dyDescent="0.25">
      <c r="A33" s="49">
        <v>17</v>
      </c>
      <c r="B33" s="57" t="s">
        <v>12</v>
      </c>
      <c r="C33" s="56"/>
    </row>
    <row r="34" spans="1:3" x14ac:dyDescent="0.25">
      <c r="A34" s="49"/>
      <c r="B34" s="60" t="s">
        <v>220</v>
      </c>
      <c r="C34" s="59"/>
    </row>
    <row r="35" spans="1:3" x14ac:dyDescent="0.25">
      <c r="A35" s="49"/>
      <c r="B35" s="60" t="s">
        <v>221</v>
      </c>
      <c r="C35" s="84"/>
    </row>
    <row r="36" spans="1:3" ht="15.75" thickBot="1" x14ac:dyDescent="0.3">
      <c r="A36" s="49"/>
      <c r="B36" s="60" t="s">
        <v>212</v>
      </c>
      <c r="C36" s="63">
        <f>+C34-C35</f>
        <v>0</v>
      </c>
    </row>
    <row r="37" spans="1:3" ht="15.75" thickTop="1" x14ac:dyDescent="0.25">
      <c r="A37" s="49"/>
      <c r="B37" s="60" t="s">
        <v>210</v>
      </c>
      <c r="C37" s="86" t="e">
        <f>+C36/C34</f>
        <v>#DIV/0!</v>
      </c>
    </row>
    <row r="38" spans="1:3" x14ac:dyDescent="0.25">
      <c r="A38" s="49"/>
      <c r="B38" s="60" t="s">
        <v>211</v>
      </c>
      <c r="C38" s="87">
        <f>+C36</f>
        <v>0</v>
      </c>
    </row>
    <row r="39" spans="1:3" x14ac:dyDescent="0.25">
      <c r="A39" s="49"/>
      <c r="B39" s="60" t="s">
        <v>213</v>
      </c>
      <c r="C39" s="87">
        <f>+D26</f>
        <v>185036</v>
      </c>
    </row>
    <row r="40" spans="1:3" x14ac:dyDescent="0.25">
      <c r="A40" s="49"/>
      <c r="B40" s="60" t="s">
        <v>205</v>
      </c>
      <c r="C40" s="88">
        <f>+C38/C39</f>
        <v>0</v>
      </c>
    </row>
  </sheetData>
  <pageMargins left="0.45" right="0.45" top="0.75" bottom="0.75" header="0.3" footer="0.3"/>
  <pageSetup scale="58" orientation="landscape" cellComments="asDisplayed" r:id="rId1"/>
  <headerFooter>
    <oddHeader>&amp;R&amp;D  &amp;T</oddHeader>
    <oddFooter>&amp;L&amp;F</oddFooter>
  </headerFooter>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20.42578125" style="9" bestFit="1" customWidth="1"/>
    <col min="5" max="6" width="9.140625" style="9"/>
    <col min="7" max="7" width="14.85546875" style="9" bestFit="1" customWidth="1"/>
    <col min="8" max="8" width="10.140625" style="9" bestFit="1" customWidth="1"/>
    <col min="9" max="9" width="22.7109375" style="9" bestFit="1" customWidth="1"/>
    <col min="10" max="10" width="13.42578125" style="9" bestFit="1" customWidth="1"/>
    <col min="11" max="11" width="10.140625" style="9" bestFit="1" customWidth="1"/>
    <col min="12" max="16384" width="9.140625" style="9"/>
  </cols>
  <sheetData>
    <row r="1" spans="1:4" s="1" customFormat="1" ht="18.75" x14ac:dyDescent="0.3">
      <c r="A1" s="12">
        <v>1</v>
      </c>
      <c r="B1" s="13" t="s">
        <v>43</v>
      </c>
      <c r="C1" s="5">
        <v>6</v>
      </c>
    </row>
    <row r="2" spans="1:4" ht="18.75" x14ac:dyDescent="0.3">
      <c r="A2" s="12">
        <v>2</v>
      </c>
      <c r="B2" s="13" t="s">
        <v>8</v>
      </c>
      <c r="C2" s="5" t="str">
        <f>'Tab 1 Overview'!$B$1</f>
        <v>Doctors Community Hospital</v>
      </c>
    </row>
    <row r="3" spans="1:4" ht="21.75" customHeight="1" x14ac:dyDescent="0.3">
      <c r="A3" s="12">
        <v>3</v>
      </c>
      <c r="B3" s="13" t="s">
        <v>24</v>
      </c>
      <c r="C3" s="5" t="s">
        <v>16</v>
      </c>
    </row>
    <row r="4" spans="1:4" ht="103.5" customHeight="1" x14ac:dyDescent="0.25">
      <c r="A4" s="12">
        <v>4</v>
      </c>
      <c r="B4" s="13" t="s">
        <v>25</v>
      </c>
      <c r="C4" s="42" t="s">
        <v>188</v>
      </c>
      <c r="D4" s="24"/>
    </row>
    <row r="5" spans="1:4" ht="21.75" customHeight="1" x14ac:dyDescent="0.3">
      <c r="A5" s="12">
        <v>5</v>
      </c>
      <c r="B5" s="13" t="s">
        <v>15</v>
      </c>
      <c r="C5" s="44" t="s">
        <v>87</v>
      </c>
      <c r="D5" s="24"/>
    </row>
    <row r="6" spans="1:4" ht="21.75" customHeight="1" x14ac:dyDescent="0.3">
      <c r="A6" s="12">
        <v>6</v>
      </c>
      <c r="B6" s="13" t="s">
        <v>2</v>
      </c>
      <c r="C6" s="43">
        <f>D28</f>
        <v>1747040</v>
      </c>
      <c r="D6" s="29"/>
    </row>
    <row r="7" spans="1:4" ht="21.75" customHeight="1" x14ac:dyDescent="0.3">
      <c r="A7" s="12">
        <v>7</v>
      </c>
      <c r="B7" s="13" t="s">
        <v>3</v>
      </c>
      <c r="C7" s="7" t="s">
        <v>99</v>
      </c>
    </row>
    <row r="8" spans="1:4" ht="45.75" customHeight="1" x14ac:dyDescent="0.3">
      <c r="A8" s="12">
        <v>8</v>
      </c>
      <c r="B8" s="13" t="s">
        <v>14</v>
      </c>
      <c r="C8" s="5" t="s">
        <v>65</v>
      </c>
    </row>
    <row r="9" spans="1:4" ht="21.75" customHeight="1" x14ac:dyDescent="0.3">
      <c r="A9" s="12">
        <v>9</v>
      </c>
      <c r="B9" s="13" t="s">
        <v>10</v>
      </c>
      <c r="C9" s="53" t="s">
        <v>104</v>
      </c>
    </row>
    <row r="10" spans="1:4" ht="21.75" customHeight="1" x14ac:dyDescent="0.3">
      <c r="A10" s="12">
        <v>10</v>
      </c>
      <c r="B10" s="13" t="s">
        <v>9</v>
      </c>
      <c r="C10" s="40" t="s">
        <v>94</v>
      </c>
    </row>
    <row r="11" spans="1:4" ht="21.75" customHeight="1" x14ac:dyDescent="0.3">
      <c r="A11" s="12">
        <v>11</v>
      </c>
      <c r="B11" s="13" t="s">
        <v>13</v>
      </c>
      <c r="C11" s="44" t="s">
        <v>109</v>
      </c>
    </row>
    <row r="12" spans="1:4" ht="21.75" customHeight="1" x14ac:dyDescent="0.3">
      <c r="A12" s="12">
        <v>12</v>
      </c>
      <c r="B12" s="13" t="s">
        <v>27</v>
      </c>
      <c r="C12" s="44" t="s">
        <v>199</v>
      </c>
    </row>
    <row r="13" spans="1:4" ht="21.75" customHeight="1" x14ac:dyDescent="0.3">
      <c r="A13" s="12">
        <v>13</v>
      </c>
      <c r="B13" s="13" t="s">
        <v>49</v>
      </c>
      <c r="C13" s="5" t="s">
        <v>93</v>
      </c>
    </row>
    <row r="14" spans="1:4" ht="44.25" customHeight="1" x14ac:dyDescent="0.3">
      <c r="A14" s="12">
        <v>14</v>
      </c>
      <c r="B14" s="13" t="s">
        <v>1</v>
      </c>
      <c r="C14" s="44" t="s">
        <v>125</v>
      </c>
    </row>
    <row r="15" spans="1:4" ht="37.5" x14ac:dyDescent="0.25">
      <c r="A15" s="12">
        <v>15</v>
      </c>
      <c r="B15" s="13" t="s">
        <v>29</v>
      </c>
      <c r="C15" s="42" t="s">
        <v>124</v>
      </c>
    </row>
    <row r="16" spans="1:4" ht="94.5" customHeight="1" x14ac:dyDescent="0.3">
      <c r="A16" s="12">
        <v>16</v>
      </c>
      <c r="B16" s="13" t="s">
        <v>11</v>
      </c>
      <c r="C16" s="44" t="s">
        <v>189</v>
      </c>
    </row>
    <row r="17" spans="1:8" ht="41.25" customHeight="1" x14ac:dyDescent="0.3">
      <c r="A17" s="12">
        <v>17</v>
      </c>
      <c r="B17" s="13" t="s">
        <v>12</v>
      </c>
      <c r="C17" s="5" t="s">
        <v>198</v>
      </c>
    </row>
    <row r="18" spans="1:8" ht="15.75" x14ac:dyDescent="0.25">
      <c r="A18" s="23"/>
    </row>
    <row r="19" spans="1:8" ht="15.75" x14ac:dyDescent="0.25">
      <c r="A19" s="23"/>
    </row>
    <row r="20" spans="1:8" x14ac:dyDescent="0.25">
      <c r="B20" s="32" t="s">
        <v>70</v>
      </c>
      <c r="D20" s="30" t="s">
        <v>67</v>
      </c>
      <c r="F20" s="24" t="s">
        <v>164</v>
      </c>
    </row>
    <row r="21" spans="1:8" x14ac:dyDescent="0.25">
      <c r="B21" s="24" t="s">
        <v>148</v>
      </c>
      <c r="C21" s="60" t="s">
        <v>151</v>
      </c>
      <c r="D21" s="33">
        <v>20083</v>
      </c>
      <c r="F21" s="24" t="s">
        <v>85</v>
      </c>
      <c r="G21" s="33">
        <v>568027</v>
      </c>
      <c r="H21" s="24" t="s">
        <v>163</v>
      </c>
    </row>
    <row r="22" spans="1:8" x14ac:dyDescent="0.25">
      <c r="B22" s="24" t="s">
        <v>149</v>
      </c>
      <c r="C22" s="60" t="s">
        <v>151</v>
      </c>
      <c r="D22" s="33">
        <v>882675</v>
      </c>
      <c r="F22" s="24" t="s">
        <v>86</v>
      </c>
      <c r="G22" s="33">
        <v>27911</v>
      </c>
      <c r="H22" s="24" t="s">
        <v>163</v>
      </c>
    </row>
    <row r="23" spans="1:8" x14ac:dyDescent="0.25">
      <c r="B23" s="24" t="s">
        <v>150</v>
      </c>
      <c r="C23" s="60" t="s">
        <v>151</v>
      </c>
      <c r="D23" s="33">
        <v>220532</v>
      </c>
      <c r="F23" s="31" t="s">
        <v>92</v>
      </c>
      <c r="G23" s="33">
        <v>46047.81</v>
      </c>
      <c r="H23" s="24" t="s">
        <v>163</v>
      </c>
    </row>
    <row r="24" spans="1:8" x14ac:dyDescent="0.25">
      <c r="B24" s="31"/>
      <c r="C24" s="24"/>
      <c r="D24" s="33"/>
      <c r="F24" s="72"/>
      <c r="G24" s="73"/>
    </row>
    <row r="25" spans="1:8" x14ac:dyDescent="0.25">
      <c r="B25" s="24" t="s">
        <v>135</v>
      </c>
      <c r="D25" s="33">
        <v>500000</v>
      </c>
      <c r="F25" s="72"/>
      <c r="G25" s="73"/>
    </row>
    <row r="26" spans="1:8" x14ac:dyDescent="0.25">
      <c r="B26" s="31" t="s">
        <v>134</v>
      </c>
      <c r="D26" s="33">
        <v>50000</v>
      </c>
    </row>
    <row r="27" spans="1:8" x14ac:dyDescent="0.25">
      <c r="B27" s="31" t="s">
        <v>136</v>
      </c>
      <c r="C27" s="41" t="s">
        <v>137</v>
      </c>
      <c r="D27" s="33">
        <f>((1.25*7000*12+3000*6)/12*3)+18000+25000</f>
        <v>73750</v>
      </c>
    </row>
    <row r="28" spans="1:8" s="34" customFormat="1" ht="15.75" thickBot="1" x14ac:dyDescent="0.3">
      <c r="B28" s="32" t="s">
        <v>73</v>
      </c>
      <c r="C28" s="35"/>
      <c r="D28" s="36">
        <f>SUM(D21:D27)</f>
        <v>1747040</v>
      </c>
    </row>
    <row r="29" spans="1:8" ht="15.75" thickTop="1" x14ac:dyDescent="0.25"/>
    <row r="33" spans="2:2" ht="15.75" x14ac:dyDescent="0.25">
      <c r="B33" s="69"/>
    </row>
    <row r="34" spans="2:2" x14ac:dyDescent="0.25">
      <c r="B34" s="70"/>
    </row>
    <row r="35" spans="2:2" x14ac:dyDescent="0.25">
      <c r="B35" s="70"/>
    </row>
    <row r="36" spans="2:2" ht="15.75" x14ac:dyDescent="0.25">
      <c r="B36" s="69"/>
    </row>
    <row r="37" spans="2:2" ht="15.75" x14ac:dyDescent="0.25">
      <c r="B37" s="69"/>
    </row>
    <row r="38" spans="2:2" ht="15.75" x14ac:dyDescent="0.25">
      <c r="B38" s="69"/>
    </row>
    <row r="39" spans="2:2" ht="15.75" x14ac:dyDescent="0.25">
      <c r="B39" s="69"/>
    </row>
  </sheetData>
  <pageMargins left="0.45" right="0.45" top="0.75" bottom="0.75" header="0.3" footer="0.3"/>
  <pageSetup scale="69"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85546875" style="9" bestFit="1" customWidth="1"/>
    <col min="5" max="16384" width="9.140625" style="9"/>
  </cols>
  <sheetData>
    <row r="1" spans="1:4" s="1" customFormat="1" ht="18.75" x14ac:dyDescent="0.3">
      <c r="A1" s="12">
        <v>1</v>
      </c>
      <c r="B1" s="13" t="s">
        <v>43</v>
      </c>
      <c r="C1" s="5">
        <v>7</v>
      </c>
    </row>
    <row r="2" spans="1:4" ht="18.75" x14ac:dyDescent="0.3">
      <c r="A2" s="12">
        <v>2</v>
      </c>
      <c r="B2" s="13" t="s">
        <v>8</v>
      </c>
      <c r="C2" s="5" t="s">
        <v>61</v>
      </c>
    </row>
    <row r="3" spans="1:4" ht="21.75" customHeight="1" x14ac:dyDescent="0.3">
      <c r="A3" s="12">
        <v>3</v>
      </c>
      <c r="B3" s="13" t="s">
        <v>24</v>
      </c>
      <c r="C3" s="5" t="s">
        <v>16</v>
      </c>
    </row>
    <row r="4" spans="1:4" ht="103.5" customHeight="1" x14ac:dyDescent="0.25">
      <c r="A4" s="12">
        <v>4</v>
      </c>
      <c r="B4" s="13" t="s">
        <v>25</v>
      </c>
      <c r="C4" s="42" t="s">
        <v>190</v>
      </c>
      <c r="D4" s="24"/>
    </row>
    <row r="5" spans="1:4" ht="21.75" customHeight="1" x14ac:dyDescent="0.3">
      <c r="A5" s="12">
        <v>5</v>
      </c>
      <c r="B5" s="13" t="s">
        <v>15</v>
      </c>
      <c r="C5" s="44" t="s">
        <v>87</v>
      </c>
      <c r="D5" s="24"/>
    </row>
    <row r="6" spans="1:4" ht="21.75" customHeight="1" x14ac:dyDescent="0.3">
      <c r="A6" s="12">
        <v>6</v>
      </c>
      <c r="B6" s="13" t="s">
        <v>2</v>
      </c>
      <c r="C6" s="43">
        <f>D21</f>
        <v>243959.77</v>
      </c>
      <c r="D6" s="29"/>
    </row>
    <row r="7" spans="1:4" ht="21.75" customHeight="1" x14ac:dyDescent="0.3">
      <c r="A7" s="12">
        <v>7</v>
      </c>
      <c r="B7" s="13" t="s">
        <v>3</v>
      </c>
      <c r="C7" s="7" t="s">
        <v>99</v>
      </c>
    </row>
    <row r="8" spans="1:4" ht="45.75" customHeight="1" x14ac:dyDescent="0.3">
      <c r="A8" s="12">
        <v>8</v>
      </c>
      <c r="B8" s="13" t="s">
        <v>14</v>
      </c>
      <c r="C8" s="5" t="s">
        <v>63</v>
      </c>
    </row>
    <row r="9" spans="1:4" ht="21.75" customHeight="1" x14ac:dyDescent="0.3">
      <c r="A9" s="12">
        <v>9</v>
      </c>
      <c r="B9" s="13" t="s">
        <v>10</v>
      </c>
      <c r="C9" s="53" t="s">
        <v>191</v>
      </c>
    </row>
    <row r="10" spans="1:4" ht="21.75" customHeight="1" x14ac:dyDescent="0.3">
      <c r="A10" s="12">
        <v>10</v>
      </c>
      <c r="B10" s="13" t="s">
        <v>9</v>
      </c>
      <c r="C10" s="53" t="s">
        <v>192</v>
      </c>
    </row>
    <row r="11" spans="1:4" ht="21.75" customHeight="1" x14ac:dyDescent="0.3">
      <c r="A11" s="12">
        <v>11</v>
      </c>
      <c r="B11" s="13" t="s">
        <v>13</v>
      </c>
      <c r="C11" s="44" t="s">
        <v>193</v>
      </c>
    </row>
    <row r="12" spans="1:4" ht="21.75" customHeight="1" x14ac:dyDescent="0.3">
      <c r="A12" s="12">
        <v>12</v>
      </c>
      <c r="B12" s="13" t="s">
        <v>27</v>
      </c>
      <c r="C12" s="44" t="s">
        <v>199</v>
      </c>
    </row>
    <row r="13" spans="1:4" ht="21.75" customHeight="1" x14ac:dyDescent="0.3">
      <c r="A13" s="12">
        <v>13</v>
      </c>
      <c r="B13" s="13" t="s">
        <v>49</v>
      </c>
      <c r="C13" s="5" t="s">
        <v>96</v>
      </c>
    </row>
    <row r="14" spans="1:4" ht="44.25" customHeight="1" x14ac:dyDescent="0.3">
      <c r="A14" s="12">
        <v>14</v>
      </c>
      <c r="B14" s="13" t="s">
        <v>1</v>
      </c>
      <c r="C14" s="5" t="s">
        <v>99</v>
      </c>
    </row>
    <row r="15" spans="1:4" ht="300" x14ac:dyDescent="0.25">
      <c r="A15" s="12">
        <v>15</v>
      </c>
      <c r="B15" s="13" t="s">
        <v>29</v>
      </c>
      <c r="C15" s="74" t="s">
        <v>228</v>
      </c>
    </row>
    <row r="16" spans="1:4" ht="168.75" x14ac:dyDescent="0.3">
      <c r="A16" s="12">
        <v>16</v>
      </c>
      <c r="B16" s="13" t="s">
        <v>11</v>
      </c>
      <c r="C16" s="44" t="s">
        <v>223</v>
      </c>
    </row>
    <row r="17" spans="1:5" ht="41.25" customHeight="1" x14ac:dyDescent="0.3">
      <c r="A17" s="12">
        <v>17</v>
      </c>
      <c r="B17" s="13" t="s">
        <v>12</v>
      </c>
      <c r="C17" s="5" t="s">
        <v>230</v>
      </c>
    </row>
    <row r="18" spans="1:5" ht="15.75" x14ac:dyDescent="0.25">
      <c r="A18" s="23"/>
    </row>
    <row r="19" spans="1:5" ht="15.75" x14ac:dyDescent="0.25">
      <c r="A19" s="23"/>
    </row>
    <row r="20" spans="1:5" x14ac:dyDescent="0.25">
      <c r="B20" s="32" t="s">
        <v>70</v>
      </c>
      <c r="D20" s="30" t="s">
        <v>67</v>
      </c>
    </row>
    <row r="21" spans="1:5" ht="18.75" x14ac:dyDescent="0.3">
      <c r="B21" s="24" t="s">
        <v>97</v>
      </c>
      <c r="C21" s="41" t="s">
        <v>98</v>
      </c>
      <c r="D21" s="43">
        <v>243959.77</v>
      </c>
      <c r="E21" s="71" t="s">
        <v>152</v>
      </c>
    </row>
    <row r="22" spans="1:5" x14ac:dyDescent="0.25">
      <c r="B22" s="24"/>
      <c r="C22" s="24"/>
      <c r="D22" s="33"/>
    </row>
    <row r="23" spans="1:5" x14ac:dyDescent="0.25">
      <c r="B23" s="24"/>
      <c r="C23" s="24"/>
      <c r="D23" s="33"/>
    </row>
    <row r="24" spans="1:5" x14ac:dyDescent="0.25">
      <c r="B24" s="31"/>
      <c r="D24" s="33"/>
    </row>
    <row r="25" spans="1:5" ht="15.75" thickBot="1" x14ac:dyDescent="0.3">
      <c r="B25" s="31"/>
      <c r="D25" s="36">
        <f>SUM(D21:D24)</f>
        <v>243959.77</v>
      </c>
    </row>
    <row r="26" spans="1:5" s="34" customFormat="1" ht="15.75" thickTop="1" x14ac:dyDescent="0.25">
      <c r="B26" s="32" t="s">
        <v>73</v>
      </c>
      <c r="C26" s="35"/>
    </row>
  </sheetData>
  <pageMargins left="0.45" right="0.45" top="0.75" bottom="0.75" header="0.3" footer="0.3"/>
  <pageSetup scale="55" orientation="landscape" cellComments="asDisplayed"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6"/>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8</v>
      </c>
    </row>
    <row r="2" spans="1:4" ht="18.75" x14ac:dyDescent="0.3">
      <c r="A2" s="12">
        <v>2</v>
      </c>
      <c r="B2" s="13" t="s">
        <v>8</v>
      </c>
      <c r="C2" s="5" t="s">
        <v>61</v>
      </c>
    </row>
    <row r="3" spans="1:4" ht="21.75" customHeight="1" x14ac:dyDescent="0.3">
      <c r="A3" s="12">
        <v>3</v>
      </c>
      <c r="B3" s="13" t="s">
        <v>24</v>
      </c>
      <c r="C3" s="5" t="s">
        <v>48</v>
      </c>
    </row>
    <row r="4" spans="1:4" ht="103.5" customHeight="1" x14ac:dyDescent="0.25">
      <c r="A4" s="12">
        <v>4</v>
      </c>
      <c r="B4" s="13" t="s">
        <v>25</v>
      </c>
      <c r="C4" s="6" t="s">
        <v>194</v>
      </c>
      <c r="D4" s="24"/>
    </row>
    <row r="5" spans="1:4" ht="21.75" customHeight="1" x14ac:dyDescent="0.3">
      <c r="A5" s="12">
        <v>5</v>
      </c>
      <c r="B5" s="13" t="s">
        <v>15</v>
      </c>
      <c r="C5" s="44" t="s">
        <v>87</v>
      </c>
      <c r="D5" s="24"/>
    </row>
    <row r="6" spans="1:4" ht="21.75" customHeight="1" x14ac:dyDescent="0.3">
      <c r="A6" s="12">
        <v>6</v>
      </c>
      <c r="B6" s="13" t="s">
        <v>2</v>
      </c>
      <c r="C6" s="43">
        <f>D26</f>
        <v>1242305.0192307692</v>
      </c>
      <c r="D6" s="29"/>
    </row>
    <row r="7" spans="1:4" ht="21.75" customHeight="1" x14ac:dyDescent="0.3">
      <c r="A7" s="12">
        <v>7</v>
      </c>
      <c r="B7" s="13" t="s">
        <v>3</v>
      </c>
      <c r="C7" s="7" t="s">
        <v>99</v>
      </c>
    </row>
    <row r="8" spans="1:4" ht="45.75" customHeight="1" x14ac:dyDescent="0.3">
      <c r="A8" s="12">
        <v>8</v>
      </c>
      <c r="B8" s="13" t="s">
        <v>14</v>
      </c>
      <c r="C8" s="5" t="s">
        <v>63</v>
      </c>
    </row>
    <row r="9" spans="1:4" ht="21.75" customHeight="1" x14ac:dyDescent="0.3">
      <c r="A9" s="12">
        <v>9</v>
      </c>
      <c r="B9" s="13" t="s">
        <v>10</v>
      </c>
      <c r="C9" s="53" t="s">
        <v>104</v>
      </c>
    </row>
    <row r="10" spans="1:4" ht="21.75" customHeight="1" x14ac:dyDescent="0.3">
      <c r="A10" s="12">
        <v>10</v>
      </c>
      <c r="B10" s="13" t="s">
        <v>9</v>
      </c>
      <c r="C10" s="40" t="s">
        <v>126</v>
      </c>
    </row>
    <row r="11" spans="1:4" ht="21.75" customHeight="1" x14ac:dyDescent="0.3">
      <c r="A11" s="12">
        <v>11</v>
      </c>
      <c r="B11" s="13" t="s">
        <v>13</v>
      </c>
      <c r="C11" s="5" t="s">
        <v>101</v>
      </c>
    </row>
    <row r="12" spans="1:4" ht="21.75" customHeight="1" x14ac:dyDescent="0.3">
      <c r="A12" s="12">
        <v>12</v>
      </c>
      <c r="B12" s="13" t="s">
        <v>27</v>
      </c>
      <c r="C12" s="44" t="s">
        <v>199</v>
      </c>
    </row>
    <row r="13" spans="1:4" ht="21.75" customHeight="1" x14ac:dyDescent="0.3">
      <c r="A13" s="12">
        <v>13</v>
      </c>
      <c r="B13" s="13" t="s">
        <v>49</v>
      </c>
      <c r="C13" s="5" t="s">
        <v>195</v>
      </c>
    </row>
    <row r="14" spans="1:4" ht="44.25" customHeight="1" x14ac:dyDescent="0.3">
      <c r="A14" s="12">
        <v>14</v>
      </c>
      <c r="B14" s="13" t="s">
        <v>1</v>
      </c>
      <c r="C14" s="5" t="s">
        <v>99</v>
      </c>
    </row>
    <row r="15" spans="1:4" ht="37.5" x14ac:dyDescent="0.25">
      <c r="A15" s="12">
        <v>15</v>
      </c>
      <c r="B15" s="13" t="s">
        <v>29</v>
      </c>
      <c r="C15" s="42" t="s">
        <v>196</v>
      </c>
    </row>
    <row r="16" spans="1:4" ht="94.5" customHeight="1" x14ac:dyDescent="0.3">
      <c r="A16" s="12">
        <v>16</v>
      </c>
      <c r="B16" s="13" t="s">
        <v>11</v>
      </c>
      <c r="C16" s="5" t="s">
        <v>171</v>
      </c>
    </row>
    <row r="17" spans="1:4" ht="41.25" customHeight="1" x14ac:dyDescent="0.3">
      <c r="A17" s="12">
        <v>17</v>
      </c>
      <c r="B17" s="13" t="s">
        <v>12</v>
      </c>
      <c r="C17" s="5" t="s">
        <v>231</v>
      </c>
    </row>
    <row r="18" spans="1:4" ht="15.75" x14ac:dyDescent="0.25">
      <c r="A18" s="23"/>
    </row>
    <row r="19" spans="1:4" ht="15.75" x14ac:dyDescent="0.25">
      <c r="A19" s="23"/>
    </row>
    <row r="20" spans="1:4" x14ac:dyDescent="0.25">
      <c r="B20" s="32" t="s">
        <v>70</v>
      </c>
      <c r="D20" s="30" t="s">
        <v>67</v>
      </c>
    </row>
    <row r="21" spans="1:4" x14ac:dyDescent="0.25">
      <c r="B21" s="24" t="s">
        <v>95</v>
      </c>
      <c r="C21" s="41"/>
      <c r="D21" s="33">
        <v>1038078.25</v>
      </c>
    </row>
    <row r="22" spans="1:4" x14ac:dyDescent="0.25">
      <c r="B22" s="24" t="s">
        <v>111</v>
      </c>
      <c r="C22" s="41" t="s">
        <v>112</v>
      </c>
      <c r="D22" s="33">
        <f>46*(100000/2080)*20</f>
        <v>44230.769230769234</v>
      </c>
    </row>
    <row r="23" spans="1:4" x14ac:dyDescent="0.25">
      <c r="B23" s="31" t="s">
        <v>131</v>
      </c>
      <c r="C23" s="41" t="s">
        <v>132</v>
      </c>
      <c r="D23" s="33">
        <f>13333*12</f>
        <v>159996</v>
      </c>
    </row>
    <row r="24" spans="1:4" x14ac:dyDescent="0.25">
      <c r="B24" s="31" t="s">
        <v>145</v>
      </c>
      <c r="C24" s="41" t="s">
        <v>170</v>
      </c>
      <c r="D24" s="33">
        <v>0</v>
      </c>
    </row>
    <row r="25" spans="1:4" x14ac:dyDescent="0.25">
      <c r="B25" s="31"/>
      <c r="C25" s="41"/>
      <c r="D25" s="33"/>
    </row>
    <row r="26" spans="1:4" ht="15.75" thickBot="1" x14ac:dyDescent="0.3">
      <c r="B26" s="32" t="s">
        <v>73</v>
      </c>
      <c r="D26" s="36">
        <f>SUM(D21:D25)</f>
        <v>1242305.0192307692</v>
      </c>
    </row>
    <row r="27" spans="1:4" s="34" customFormat="1" ht="15.75" thickTop="1" x14ac:dyDescent="0.25">
      <c r="C27" s="35"/>
    </row>
    <row r="33" spans="1:3" x14ac:dyDescent="0.25">
      <c r="A33" s="49">
        <v>17</v>
      </c>
      <c r="B33" s="57" t="s">
        <v>12</v>
      </c>
      <c r="C33" s="56"/>
    </row>
    <row r="34" spans="1:3" x14ac:dyDescent="0.25">
      <c r="A34" s="49"/>
      <c r="B34" s="60" t="s">
        <v>222</v>
      </c>
      <c r="C34" s="59">
        <v>4387351.0324432813</v>
      </c>
    </row>
    <row r="35" spans="1:3" x14ac:dyDescent="0.25">
      <c r="A35" s="49"/>
      <c r="B35" s="60" t="s">
        <v>213</v>
      </c>
      <c r="C35" s="87">
        <f>+D26</f>
        <v>1242305.0192307692</v>
      </c>
    </row>
    <row r="36" spans="1:3" x14ac:dyDescent="0.25">
      <c r="A36" s="49"/>
      <c r="B36" s="60" t="s">
        <v>205</v>
      </c>
      <c r="C36" s="88">
        <f>+C34/C35</f>
        <v>3.5316214331645486</v>
      </c>
    </row>
  </sheetData>
  <pageMargins left="0.45" right="0.45" top="0.75" bottom="0.75" header="0.3" footer="0.3"/>
  <pageSetup scale="69" orientation="landscape" cellComments="asDisplayed" r:id="rId1"/>
  <headerFooter>
    <oddHeader>&amp;R&amp;D  &amp;T</oddHeader>
    <oddFooter>&amp;L&amp;F</oddFooter>
  </headerFooter>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5056A-5914-4299-9F20-35E1CCE8C84F}"/>
</file>

<file path=customXml/itemProps2.xml><?xml version="1.0" encoding="utf-8"?>
<ds:datastoreItem xmlns:ds="http://schemas.openxmlformats.org/officeDocument/2006/customXml" ds:itemID="{70B3D96E-B109-4F36-B8D7-20D520C477C0}"/>
</file>

<file path=customXml/itemProps3.xml><?xml version="1.0" encoding="utf-8"?>
<ds:datastoreItem xmlns:ds="http://schemas.openxmlformats.org/officeDocument/2006/customXml" ds:itemID="{2C712231-C9D3-4915-A672-EB3245DD6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Tab 1 Overview</vt:lpstr>
      <vt:lpstr>Tab 2 Investment 1</vt:lpstr>
      <vt:lpstr>Tab 2 Investment 2</vt:lpstr>
      <vt:lpstr>Tab 2 Investment 3</vt:lpstr>
      <vt:lpstr>Tab 2 Investment 4</vt:lpstr>
      <vt:lpstr>Tab 2 Investment 5</vt:lpstr>
      <vt:lpstr>Tab 2 Investment 6</vt:lpstr>
      <vt:lpstr>Tab 2 Investment 7</vt:lpstr>
      <vt:lpstr>Tab 2 Investment 8</vt:lpstr>
      <vt:lpstr>Tab 2 Investment 9</vt:lpstr>
      <vt:lpstr>Instructions</vt:lpstr>
      <vt:lpstr>Example 1</vt:lpstr>
      <vt:lpstr>Example 2</vt:lpstr>
      <vt:lpstr>'Tab 1 Overview'!Print_Area</vt:lpstr>
      <vt:lpstr>'Tab 2 Investment 1'!Print_Area</vt:lpstr>
      <vt:lpstr>'Tab 2 Investment 2'!Print_Area</vt:lpstr>
      <vt:lpstr>'Tab 2 Investment 3'!Print_Area</vt:lpstr>
      <vt:lpstr>'Tab 2 Investment 4'!Print_Area</vt:lpstr>
      <vt:lpstr>'Tab 2 Investment 5'!Print_Area</vt:lpstr>
      <vt:lpstr>'Tab 2 Investment 6'!Print_Area</vt:lpstr>
      <vt:lpstr>'Tab 2 Investment 7'!Print_Area</vt:lpstr>
      <vt:lpstr>'Tab 2 Investment 8'!Print_Area</vt:lpstr>
      <vt:lpstr>'Tab 2 Investment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Stefano, Megan</cp:lastModifiedBy>
  <cp:lastPrinted>2015-09-30T19:24:37Z</cp:lastPrinted>
  <dcterms:created xsi:type="dcterms:W3CDTF">2014-09-18T19:34:29Z</dcterms:created>
  <dcterms:modified xsi:type="dcterms:W3CDTF">2015-09-30T19:26:58Z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